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sertation\"/>
    </mc:Choice>
  </mc:AlternateContent>
  <xr:revisionPtr revIDLastSave="0" documentId="13_ncr:1_{2034DF75-C55A-4E6B-B23C-A963295E4F64}" xr6:coauthVersionLast="36" xr6:coauthVersionMax="45" xr10:uidLastSave="{00000000-0000-0000-0000-000000000000}"/>
  <bookViews>
    <workbookView xWindow="14295" yWindow="75" windowWidth="14145" windowHeight="8925" firstSheet="11" activeTab="12" xr2:uid="{1FCAF105-1027-4DED-B2F0-D842148FCF5F}"/>
  </bookViews>
  <sheets>
    <sheet name="Sheet1" sheetId="1" r:id="rId1"/>
    <sheet name="empty weight estimation table" sheetId="2" r:id="rId2"/>
    <sheet name="Fuel fraction estimation" sheetId="3" r:id="rId3"/>
    <sheet name="the iterative and mission bit" sheetId="5" r:id="rId4"/>
    <sheet name="lift coeffs" sheetId="6" r:id="rId5"/>
    <sheet name="landing" sheetId="9" r:id="rId6"/>
    <sheet name=" turning" sheetId="10" r:id="rId7"/>
    <sheet name="catapult" sheetId="7" r:id="rId8"/>
    <sheet name="climb and glide" sheetId="12" r:id="rId9"/>
    <sheet name="Fuselage Length" sheetId="13" r:id="rId10"/>
    <sheet name="empty sheet" sheetId="15" r:id="rId11"/>
    <sheet name="Heavy lift UAV initial sizing" sheetId="16" r:id="rId12"/>
    <sheet name="motor selection" sheetId="17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7" l="1"/>
  <c r="C27" i="17"/>
  <c r="C38" i="17"/>
  <c r="C34" i="17"/>
  <c r="C29" i="17"/>
  <c r="C26" i="17"/>
  <c r="C24" i="17"/>
  <c r="C20" i="17"/>
  <c r="C19" i="17"/>
  <c r="C13" i="17"/>
  <c r="C11" i="17"/>
  <c r="C7" i="17"/>
  <c r="C2" i="17"/>
  <c r="C4" i="17"/>
  <c r="C4" i="16"/>
  <c r="C6" i="16" s="1"/>
  <c r="C15" i="16"/>
  <c r="C14" i="16" s="1"/>
  <c r="C12" i="16"/>
  <c r="C8" i="16"/>
  <c r="C10" i="16"/>
  <c r="C18" i="13"/>
  <c r="C17" i="13"/>
  <c r="B15" i="13"/>
  <c r="B15" i="10"/>
  <c r="B6" i="12"/>
  <c r="B1" i="12" s="1"/>
  <c r="G30" i="9"/>
  <c r="G28" i="9" s="1"/>
  <c r="B30" i="9"/>
  <c r="B28" i="9" s="1"/>
  <c r="G23" i="9"/>
  <c r="B10" i="10"/>
  <c r="B5" i="10"/>
  <c r="B3" i="10" s="1"/>
  <c r="B2" i="10" s="1"/>
  <c r="G21" i="9"/>
  <c r="B21" i="9"/>
  <c r="C9" i="9"/>
  <c r="B9" i="9"/>
  <c r="C3" i="16" l="1"/>
  <c r="B1" i="7"/>
  <c r="B5" i="7" s="1"/>
  <c r="C22" i="6"/>
  <c r="C14" i="6"/>
  <c r="C10" i="6"/>
  <c r="C3" i="6"/>
  <c r="C25" i="5"/>
  <c r="C21" i="5"/>
  <c r="C12" i="5"/>
  <c r="B37" i="5"/>
  <c r="B36" i="5"/>
  <c r="B35" i="5"/>
  <c r="B34" i="5"/>
  <c r="B33" i="5"/>
  <c r="B32" i="5"/>
  <c r="B31" i="5"/>
  <c r="B37" i="3"/>
  <c r="C35" i="3"/>
  <c r="C34" i="3"/>
  <c r="B35" i="3"/>
  <c r="B34" i="3"/>
  <c r="C27" i="3"/>
  <c r="C26" i="3"/>
  <c r="C19" i="3"/>
  <c r="C18" i="3"/>
  <c r="C23" i="5" l="1"/>
  <c r="C24" i="5" s="1"/>
  <c r="B20" i="2"/>
  <c r="C2" i="2" s="1"/>
  <c r="D3" i="1"/>
  <c r="C36" i="5" l="1"/>
  <c r="D36" i="5" s="1"/>
  <c r="C34" i="5"/>
  <c r="C32" i="5"/>
  <c r="D32" i="5" s="1"/>
  <c r="C35" i="5"/>
  <c r="C33" i="5"/>
  <c r="C31" i="5"/>
  <c r="C37" i="5"/>
  <c r="D35" i="5"/>
  <c r="D37" i="5"/>
  <c r="D33" i="5"/>
  <c r="D34" i="5"/>
  <c r="D31" i="5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</author>
  </authors>
  <commentList>
    <comment ref="C8" authorId="0" shapeId="0" xr:uid="{940F0C67-2181-4322-878C-2A175BA75E58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fuel fraction estimation</t>
        </r>
      </text>
    </comment>
    <comment ref="C9" authorId="0" shapeId="0" xr:uid="{A9FB78FE-F997-4031-9FF1-80565490E7D2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empty weight estimation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 (Student)</author>
  </authors>
  <commentList>
    <comment ref="B15" authorId="0" shapeId="0" xr:uid="{1AC7B66F-112C-42AC-B903-4B9B358B2C39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imperial -&gt; select from above</t>
        </r>
      </text>
    </comment>
    <comment ref="B19" authorId="0" shapeId="0" xr:uid="{48ABE955-7796-400E-BED6-230457AF0CF8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wetted wing span related to wing span</t>
        </r>
      </text>
    </comment>
    <comment ref="B20" authorId="0" shapeId="0" xr:uid="{C4D7C2A7-F747-472E-9BB0-7A1167A4CEF8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wing area</t>
        </r>
      </text>
    </comment>
    <comment ref="B23" authorId="0" shapeId="0" xr:uid="{6A745777-FC28-4992-95D0-51DC4D70EC8A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wing mean chord</t>
        </r>
      </text>
    </comment>
    <comment ref="B24" authorId="0" shapeId="0" xr:uid="{750043A9-346B-4DD8-96E6-18E4EAFDC297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horizontal tail volume coefficient</t>
        </r>
      </text>
    </comment>
    <comment ref="B25" authorId="0" shapeId="0" xr:uid="{C43D2FAB-A2B5-4084-878B-1D5A767EB65F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vertical tail volume coefficient</t>
        </r>
      </text>
    </comment>
    <comment ref="C41" authorId="0" shapeId="0" xr:uid="{61D67794-391E-44C8-BC55-4F8CE2FE798A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long fuselage with high wing loading needs largeer value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 (Student)</author>
  </authors>
  <commentList>
    <comment ref="B3" authorId="0" shapeId="0" xr:uid="{24ECA6F7-5A0D-4460-B2AC-A6FA75EA8344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empty weight fraction</t>
        </r>
      </text>
    </comment>
    <comment ref="B4" authorId="0" shapeId="0" xr:uid="{B092F2CF-F903-46C4-B1BC-BE3E89D82306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total weight of aircraft</t>
        </r>
      </text>
    </comment>
    <comment ref="B5" authorId="0" shapeId="0" xr:uid="{8FA8F455-FFC9-49D5-9346-F67AC8DD5E9A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weight of payload</t>
        </r>
      </text>
    </comment>
    <comment ref="B6" authorId="0" shapeId="0" xr:uid="{3F8156C6-124E-4A15-8C2A-D3392E2A43FD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battery fraction</t>
        </r>
      </text>
    </comment>
    <comment ref="B8" authorId="0" shapeId="0" xr:uid="{94B3A63B-3E81-4E48-A52C-5D0A09A19172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no-load speed constant</t>
        </r>
      </text>
    </comment>
    <comment ref="B9" authorId="0" shapeId="0" xr:uid="{F149E2AB-4D95-44C1-9141-6D1BD89DAC53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motor mass</t>
        </r>
      </text>
    </comment>
    <comment ref="B10" authorId="0" shapeId="0" xr:uid="{58BD5312-8A69-43DF-82FF-B17590B72E38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maximum continuous motor power</t>
        </r>
      </text>
    </comment>
    <comment ref="B12" authorId="0" shapeId="0" xr:uid="{E509DD1B-B818-4D86-92E5-C6B398A6F38E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battery capacity</t>
        </r>
      </text>
    </comment>
    <comment ref="B13" authorId="0" shapeId="0" xr:uid="{D3A2DB27-BE58-403F-B491-E2AF2759A6D8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battery mass</t>
        </r>
      </text>
    </comment>
    <comment ref="B14" authorId="0" shapeId="0" xr:uid="{FAD38F71-607C-4633-BFA7-3E478CD56759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continuous discharge current, Amax</t>
        </r>
      </text>
    </comment>
    <comment ref="B15" authorId="0" shapeId="0" xr:uid="{43F66A97-8657-4957-8DF3-DB8D173D3E29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discharge rating</t>
        </r>
      </text>
    </comment>
    <comment ref="B17" authorId="0" shapeId="0" xr:uid="{90ED4477-CE56-487A-A66E-3A5237DFAC72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state that this is the payload and fixed bit but the two are considered one coz of the other equation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 (Student)</author>
  </authors>
  <commentList>
    <comment ref="B2" authorId="0" shapeId="0" xr:uid="{F0035893-4CE0-423E-9BAF-A4C80746A70D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thrust required by each coaxial rotor</t>
        </r>
      </text>
    </comment>
    <comment ref="B5" authorId="0" shapeId="0" xr:uid="{344D38C8-B8A5-4453-AF27-610F3CAE5A06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number of coaxial rotors</t>
        </r>
      </text>
    </comment>
    <comment ref="B7" authorId="0" shapeId="0" xr:uid="{533957E2-457C-4BA4-A653-C3C59CB79EA3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ideal power for hover condition</t>
        </r>
      </text>
    </comment>
    <comment ref="B9" authorId="0" shapeId="0" xr:uid="{A70FA58D-4200-4F6C-B62E-6082B3B6FEF6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area</t>
        </r>
      </text>
    </comment>
    <comment ref="B10" authorId="0" shapeId="0" xr:uid="{844A9EF6-260A-4C3E-848C-F2F25581046F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Radius of rotor</t>
        </r>
      </text>
    </comment>
    <comment ref="B13" authorId="0" shapeId="0" xr:uid="{F4D31555-C40A-44F9-97EE-A773633A2D9D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Ideal thrust</t>
        </r>
      </text>
    </comment>
    <comment ref="B14" authorId="0" shapeId="0" xr:uid="{58604289-DC58-438C-A649-70DAC72DD00B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Input power</t>
        </r>
      </text>
    </comment>
    <comment ref="B16" authorId="0" shapeId="0" xr:uid="{F943043F-4508-4B9A-9B11-C95F9A22B35A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actual power</t>
        </r>
      </text>
    </comment>
    <comment ref="B17" authorId="0" shapeId="0" xr:uid="{A337A257-39F2-4ACA-9CB1-A471F81DD0E6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actual thrust</t>
        </r>
      </text>
    </comment>
    <comment ref="B19" authorId="0" shapeId="0" xr:uid="{0FC50DB2-E855-4B97-8BE5-BBCD9538BA81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Based on Power</t>
        </r>
      </text>
    </comment>
    <comment ref="B20" authorId="0" shapeId="0" xr:uid="{5C859905-E78B-4F65-A3A0-793408C8AD9C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Based on thrust</t>
        </r>
      </text>
    </comment>
    <comment ref="B21" authorId="0" shapeId="0" xr:uid="{C53AE817-13ED-453C-91FD-F5F88DC0B037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large scale rotors typically achieve a figure of merit of 0.6&lt;FM&lt;0.8</t>
        </r>
      </text>
    </comment>
    <comment ref="B24" authorId="0" shapeId="0" xr:uid="{326A957A-50F4-4E34-BCF3-59C3CD2DFEFB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power per coaxial rotor required</t>
        </r>
      </text>
    </comment>
    <comment ref="B25" authorId="0" shapeId="0" xr:uid="{6EAC4C48-012D-4476-A33B-91F494824F8E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correction factor, assumed to be 1.5</t>
        </r>
      </text>
    </comment>
    <comment ref="B29" authorId="0" shapeId="0" xr:uid="{8F716ECC-8433-44E9-9E44-619271B81520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total current draw from system</t>
        </r>
      </text>
    </comment>
    <comment ref="B30" authorId="0" shapeId="0" xr:uid="{85E40397-0BA4-4DF1-87EC-0B5D7F9D1AE3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nominal voltage of motor</t>
        </r>
      </text>
    </comment>
    <comment ref="B34" authorId="0" shapeId="0" xr:uid="{53623859-8623-429F-92C7-1EB3DAB6AF90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available time (endurance time)</t>
        </r>
      </text>
    </comment>
    <comment ref="B38" authorId="0" shapeId="0" xr:uid="{F56F2F20-F4C6-4FD8-ACFC-96E49D8A37B0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altered (refined) battery weight fraction</t>
        </r>
      </text>
    </comment>
    <comment ref="B39" authorId="0" shapeId="0" xr:uid="{5487AE54-F475-4DAB-A69F-30AC0C852947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correction factor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</author>
  </authors>
  <commentList>
    <comment ref="B2" authorId="0" shapeId="0" xr:uid="{678C02AA-EFBD-49EA-B5A8-94C45192C11B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change values to suit your stuff (move the boxes)</t>
        </r>
      </text>
    </comment>
    <comment ref="C2" authorId="0" shapeId="0" xr:uid="{AEADDA00-A404-416D-9523-08CDC9A134CB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move the boxes here as well to match your criteria</t>
        </r>
      </text>
    </comment>
    <comment ref="E3" authorId="0" shapeId="0" xr:uid="{8BDA2B6F-A0FC-4CC3-8DF8-140DFC574CDD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empty weight estimation based on historical data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</author>
  </authors>
  <commentList>
    <comment ref="B9" authorId="0" shapeId="0" xr:uid="{878DB7D9-EEE1-4DA0-B24E-C2007C0DFE30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N.B also noted as SFC, specific fuel consumption -&gt; rate of fuel consumption divided by the resulting thrust</t>
        </r>
      </text>
    </comment>
    <comment ref="B14" authorId="0" shapeId="0" xr:uid="{D437DA00-B4C6-4350-B28C-E8581CB1FFFC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efficiency of propellor</t>
        </r>
      </text>
    </comment>
    <comment ref="B16" authorId="0" shapeId="0" xr:uid="{9CEE5A7A-D6C2-4248-A4A1-D544D68AABF8}">
      <text>
        <r>
          <rPr>
            <b/>
            <sz val="9"/>
            <color indexed="81"/>
            <rFont val="Tahoma"/>
            <family val="2"/>
          </rPr>
          <t>Ikram Choudhury:</t>
        </r>
        <r>
          <rPr>
            <sz val="9"/>
            <color indexed="81"/>
            <rFont val="Tahoma"/>
            <family val="2"/>
          </rPr>
          <t xml:space="preserve">
in feet per second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tc={8F3EDB3C-9C04-45CB-A7DA-0CFE7112957D}</author>
    <author>tc={7E5BD6C0-84E9-474F-A42B-04AC313F9F66}</author>
    <author>tc={15FE18BC-FD08-457C-9DB5-E704F8324315}</author>
    <author>tc={87824E6A-0D77-4D5F-8ED7-420F1CF304D1}</author>
    <author>tc={F210DD87-AC45-45CF-BCDE-AA4E80B3AE55}</author>
    <author>tc={DCDA13C9-0878-42F0-8E7B-01D084FAFEE4}</author>
    <author>tc={1344E1A5-F040-4267-9C80-3F3C4370A9EA}</author>
    <author>tc={E12DB36F-3FF2-4E4B-9007-1D20246F9B7E}</author>
    <author>tc={B5AD013B-85ED-4314-B53E-BB1FFED4D929}</author>
    <author>tc={190235EB-D0B1-43D2-A23F-BB626E20A750}</author>
    <author>tc={75AC5E69-33FC-441D-BDEB-A20630EA73F0}</author>
    <author>tc={AB7FED1C-2506-4B50-B921-D87B58EF1CD4}</author>
    <author>tc={DBCF0427-CAEC-4AAD-8769-FD4104FDE173}</author>
    <author>tc={880E09A6-843B-44A7-B387-305AC0C96898}</author>
    <author>tc={F7C83A8D-3AD9-454F-8FE6-6E892BCC5C58}</author>
  </authors>
  <commentList>
    <comment ref="B2" authorId="0" shapeId="0" xr:uid="{8F3EDB3C-9C04-45CB-A7DA-0CFE7112957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table 3.2</t>
        </r>
      </text>
    </comment>
    <comment ref="B3" authorId="1" shapeId="0" xr:uid="{7E5BD6C0-84E9-474F-A42B-04AC313F9F6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table 3.2</t>
        </r>
      </text>
    </comment>
    <comment ref="C4" authorId="2" shapeId="0" xr:uid="{15FE18BC-FD08-457C-9DB5-E704F832431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 nmi</t>
        </r>
      </text>
    </comment>
    <comment ref="D4" authorId="3" shapeId="0" xr:uid="{87824E6A-0D77-4D5F-8ED7-420F1CF304D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feet</t>
        </r>
      </text>
    </comment>
    <comment ref="C9" authorId="4" shapeId="0" xr:uid="{F210DD87-AC45-45CF-BCDE-AA4E80B3AE5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hours</t>
        </r>
      </text>
    </comment>
    <comment ref="D9" authorId="5" shapeId="0" xr:uid="{DCDA13C9-0878-42F0-8E7B-01D084FAFEE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seconds</t>
        </r>
      </text>
    </comment>
    <comment ref="C10" authorId="6" shapeId="0" xr:uid="{1344E1A5-F040-4267-9C80-3F3C4370A9E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hour</t>
        </r>
      </text>
    </comment>
    <comment ref="D10" authorId="7" shapeId="0" xr:uid="{E12DB36F-3FF2-4E4B-9007-1D20246F9B7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seconds</t>
        </r>
      </text>
    </comment>
    <comment ref="C13" authorId="8" shapeId="0" xr:uid="{B5AD013B-85ED-4314-B53E-BB1FFED4D92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 nmi</t>
        </r>
      </text>
    </comment>
    <comment ref="D13" authorId="9" shapeId="0" xr:uid="{190235EB-D0B1-43D2-A23F-BB626E20A75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feet</t>
        </r>
      </text>
    </comment>
    <comment ref="C18" authorId="10" shapeId="0" xr:uid="{75AC5E69-33FC-441D-BDEB-A20630EA73F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hours</t>
        </r>
      </text>
    </comment>
    <comment ref="D18" authorId="11" shapeId="0" xr:uid="{AB7FED1C-2506-4B50-B921-D87B58EF1CD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seconds</t>
        </r>
      </text>
    </comment>
    <comment ref="C19" authorId="12" shapeId="0" xr:uid="{DBCF0427-CAEC-4AAD-8769-FD4104FDE17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hour</t>
        </r>
      </text>
    </comment>
    <comment ref="D19" authorId="13" shapeId="0" xr:uid="{880E09A6-843B-44A7-B387-305AC0C9689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 seconds</t>
        </r>
      </text>
    </comment>
    <comment ref="B22" authorId="14" shapeId="0" xr:uid="{F7C83A8D-3AD9-454F-8FE6-6E892BCC5C5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table 3.2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tc={D4E0F925-E275-40B5-981A-158CCF6DB27D}</author>
    <author>tc={46D092F4-0B87-4F8E-8A98-5AD158B9C2B2}</author>
    <author>tc={0660FB28-C1B0-4F3A-A5BF-6AE8DFF19084}</author>
    <author>tc={005C7C8C-000F-408F-BC9E-B84D16433209}</author>
  </authors>
  <commentList>
    <comment ref="B5" authorId="0" shapeId="0" xr:uid="{D4E0F925-E275-40B5-981A-158CCF6DB27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dynamic pressure</t>
        </r>
      </text>
    </comment>
    <comment ref="B6" authorId="1" shapeId="0" xr:uid="{46D092F4-0B87-4F8E-8A98-5AD158B9C2B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chord length</t>
        </r>
      </text>
    </comment>
    <comment ref="B7" authorId="2" shapeId="0" xr:uid="{0660FB28-C1B0-4F3A-A5BF-6AE8DFF1908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angle of attack</t>
        </r>
      </text>
    </comment>
    <comment ref="C22" authorId="3" shapeId="0" xr:uid="{005C7C8C-000F-408F-BC9E-B84D1643320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needs L/D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tc={1EF7D072-A09D-47A0-8A74-CC6B9D090729}</author>
    <author>Ikram Choudhury (Student)</author>
  </authors>
  <commentList>
    <comment ref="A6" authorId="0" shapeId="0" xr:uid="{1EF7D072-A09D-47A0-8A74-CC6B9D09072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obstacle-clearance distance</t>
        </r>
      </text>
    </comment>
    <comment ref="A24" authorId="1" shapeId="0" xr:uid="{5C3B639C-8951-4252-B19B-DC502ACD06BC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Aspect ratio</t>
        </r>
      </text>
    </comment>
    <comment ref="A25" authorId="1" shapeId="0" xr:uid="{719074AA-F360-4486-BE00-66FCDEBAC105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oswald efficiency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 (Student)</author>
  </authors>
  <commentList>
    <comment ref="A2" authorId="0" shapeId="0" xr:uid="{B271A4EF-49EF-4FD4-86F9-A1F8E954AF42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turn rate</t>
        </r>
      </text>
    </comment>
    <comment ref="A3" authorId="0" shapeId="0" xr:uid="{5E4CA8E5-65B5-4F8D-9F48-41F9758ECE0B}">
      <text>
        <r>
          <rPr>
            <b/>
            <sz val="9"/>
            <color indexed="81"/>
            <rFont val="Tahoma"/>
            <family val="2"/>
          </rPr>
          <t>Ikram Choudhury (Student):</t>
        </r>
        <r>
          <rPr>
            <sz val="9"/>
            <color indexed="81"/>
            <rFont val="Tahoma"/>
            <family val="2"/>
          </rPr>
          <t xml:space="preserve">
load factor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tc={67C4D1E6-5312-42A1-BD64-FADCE7CEC2A8}</author>
  </authors>
  <commentList>
    <comment ref="A3" authorId="0" shapeId="0" xr:uid="{67C4D1E6-5312-42A1-BD64-FADCE7CEC2A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speed of wind over deck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Ikram Choudhury (Student)</author>
  </authors>
  <commentList>
    <comment ref="A1" authorId="0" shapeId="0" xr:uid="{4065DA20-181D-4CE6-BB15-575EEE453D3B}">
      <text>
        <r>
          <rPr>
            <b/>
            <sz val="9"/>
            <color indexed="81"/>
            <rFont val="Tahoma"/>
            <charset val="1"/>
          </rPr>
          <t>Ikram Choudhury (Student):</t>
        </r>
        <r>
          <rPr>
            <sz val="9"/>
            <color indexed="81"/>
            <rFont val="Tahoma"/>
            <charset val="1"/>
          </rPr>
          <t xml:space="preserve">
drag to weight ratio</t>
        </r>
      </text>
    </comment>
  </commentList>
</comments>
</file>

<file path=xl/sharedStrings.xml><?xml version="1.0" encoding="utf-8"?>
<sst xmlns="http://schemas.openxmlformats.org/spreadsheetml/2006/main" count="396" uniqueCount="280">
  <si>
    <t>Wo</t>
  </si>
  <si>
    <t>Wcrew</t>
  </si>
  <si>
    <t>Wpayload</t>
  </si>
  <si>
    <t>Wfuel</t>
  </si>
  <si>
    <t>Wempty</t>
  </si>
  <si>
    <t>We/Wo</t>
  </si>
  <si>
    <t>Wf/Wo</t>
  </si>
  <si>
    <t>A[metric]</t>
  </si>
  <si>
    <t>C</t>
  </si>
  <si>
    <t>unpowered sailplaine</t>
  </si>
  <si>
    <t>powered sailplane</t>
  </si>
  <si>
    <t>homebuilt metal/wood</t>
  </si>
  <si>
    <t>homebuilt composite</t>
  </si>
  <si>
    <t>General Aviation- single engine</t>
  </si>
  <si>
    <t>General Aviation- twin engine</t>
  </si>
  <si>
    <t>Agricultural Aircraft</t>
  </si>
  <si>
    <t>Twin turboprop</t>
  </si>
  <si>
    <t>Flying Boat</t>
  </si>
  <si>
    <t>Jet trainer</t>
  </si>
  <si>
    <t>Jet fighter</t>
  </si>
  <si>
    <t>Military cargo/bomber</t>
  </si>
  <si>
    <t>Jet transport</t>
  </si>
  <si>
    <t>UAV- Tac Recce &amp; UCAV</t>
  </si>
  <si>
    <t>UAV high altitude</t>
  </si>
  <si>
    <t>UAV small</t>
  </si>
  <si>
    <t>We/Wo=A(Wo)^c Kvs</t>
  </si>
  <si>
    <t>Kvs= variable sween constant</t>
  </si>
  <si>
    <t>if variable sweep</t>
  </si>
  <si>
    <t>fixed sweep</t>
  </si>
  <si>
    <t>metric</t>
  </si>
  <si>
    <t>imperial</t>
  </si>
  <si>
    <t>A [imperial]</t>
  </si>
  <si>
    <t>mission segment</t>
  </si>
  <si>
    <t>Warmup and takeoff</t>
  </si>
  <si>
    <t>Landing</t>
  </si>
  <si>
    <t>Climb</t>
  </si>
  <si>
    <t>(Wi/Wi-1)</t>
  </si>
  <si>
    <t>exp(-RC)/V(L/D)</t>
  </si>
  <si>
    <t>R=range</t>
  </si>
  <si>
    <t>C=specific fuel consumption</t>
  </si>
  <si>
    <t>V=velocity</t>
  </si>
  <si>
    <t>L/D=Lift-to-drag ratio</t>
  </si>
  <si>
    <t>np</t>
  </si>
  <si>
    <t>T</t>
  </si>
  <si>
    <t>V</t>
  </si>
  <si>
    <t>SFC</t>
  </si>
  <si>
    <t>Pure turbojet</t>
  </si>
  <si>
    <t>Low-bypasss turbofan</t>
  </si>
  <si>
    <t>High-bypass turbofan</t>
  </si>
  <si>
    <t>Cruise imperial</t>
  </si>
  <si>
    <t>Cruise metric</t>
  </si>
  <si>
    <t>Loiter imperial</t>
  </si>
  <si>
    <t>Loiter metric</t>
  </si>
  <si>
    <t>1 hour average</t>
  </si>
  <si>
    <t>PropellerC=Cpower V/np=Cbhp</t>
  </si>
  <si>
    <t>piston prop (fixed pitch)</t>
  </si>
  <si>
    <t>Piston prop (variable pitch)</t>
  </si>
  <si>
    <t>turboprop</t>
  </si>
  <si>
    <t>Sref</t>
  </si>
  <si>
    <t>Delta wing</t>
  </si>
  <si>
    <t>Conventional</t>
  </si>
  <si>
    <t>S wetted</t>
  </si>
  <si>
    <t>Span</t>
  </si>
  <si>
    <t>Swet/Sref</t>
  </si>
  <si>
    <t>Aspect ratio</t>
  </si>
  <si>
    <t>L/Dmax</t>
  </si>
  <si>
    <t>Internal volume</t>
  </si>
  <si>
    <t>wetted aspect ratio</t>
  </si>
  <si>
    <t>Awetted</t>
  </si>
  <si>
    <t>b^2</t>
  </si>
  <si>
    <t>A</t>
  </si>
  <si>
    <t>S wet</t>
  </si>
  <si>
    <t>S ref</t>
  </si>
  <si>
    <t>Kld</t>
  </si>
  <si>
    <t>civil jets</t>
  </si>
  <si>
    <t>military jets</t>
  </si>
  <si>
    <t>retractable prop aircraft</t>
  </si>
  <si>
    <t>non retractable prop aircraft</t>
  </si>
  <si>
    <t>high-aspect-ratio aircraft</t>
  </si>
  <si>
    <t>sailplanes</t>
  </si>
  <si>
    <t>cruise</t>
  </si>
  <si>
    <t>loiter</t>
  </si>
  <si>
    <t>jet</t>
  </si>
  <si>
    <t>Prop</t>
  </si>
  <si>
    <t>efficiency of aircraft</t>
  </si>
  <si>
    <t>Wf/W0</t>
  </si>
  <si>
    <t>wx</t>
  </si>
  <si>
    <t>w0</t>
  </si>
  <si>
    <t>mission segment weight fractions</t>
  </si>
  <si>
    <t>warmup and take off</t>
  </si>
  <si>
    <t>W1/W0</t>
  </si>
  <si>
    <t>climb</t>
  </si>
  <si>
    <t>W2/W1</t>
  </si>
  <si>
    <t>Cruise</t>
  </si>
  <si>
    <t>R</t>
  </si>
  <si>
    <t>L/D</t>
  </si>
  <si>
    <t>W3/W2</t>
  </si>
  <si>
    <t>Loiter</t>
  </si>
  <si>
    <t>E</t>
  </si>
  <si>
    <t>W4/W3</t>
  </si>
  <si>
    <t>Cruise (same as 3)</t>
  </si>
  <si>
    <t>W5/W4</t>
  </si>
  <si>
    <t>W6/W5</t>
  </si>
  <si>
    <t>Land</t>
  </si>
  <si>
    <t>W7/W6</t>
  </si>
  <si>
    <t>W7/W0</t>
  </si>
  <si>
    <t>wf/w0</t>
  </si>
  <si>
    <t>We/W0</t>
  </si>
  <si>
    <t>landing number</t>
  </si>
  <si>
    <t>W0</t>
  </si>
  <si>
    <t>W0 guess</t>
  </si>
  <si>
    <t>W0 metric</t>
  </si>
  <si>
    <t>W0 calculated</t>
  </si>
  <si>
    <t>We</t>
  </si>
  <si>
    <t>iterative calculations</t>
  </si>
  <si>
    <t>imperial- metric constant</t>
  </si>
  <si>
    <t>payload weight</t>
  </si>
  <si>
    <t>section lift</t>
  </si>
  <si>
    <t>q</t>
  </si>
  <si>
    <t>c</t>
  </si>
  <si>
    <t>section lift coefficient</t>
  </si>
  <si>
    <t>section drag coefficient</t>
  </si>
  <si>
    <t>Cd</t>
  </si>
  <si>
    <t>Cl</t>
  </si>
  <si>
    <t xml:space="preserve">section drag </t>
  </si>
  <si>
    <t>alpha</t>
  </si>
  <si>
    <t>section moment coefficient</t>
  </si>
  <si>
    <t>Cm</t>
  </si>
  <si>
    <t>section moment</t>
  </si>
  <si>
    <t>sailplane</t>
  </si>
  <si>
    <t>equivalent aspect ratio</t>
  </si>
  <si>
    <t>propellor aircraft</t>
  </si>
  <si>
    <t>a</t>
  </si>
  <si>
    <t>homebuilt</t>
  </si>
  <si>
    <t>General aviation single engine</t>
  </si>
  <si>
    <t>General aviation twin engine</t>
  </si>
  <si>
    <t>Agricultural aircraft</t>
  </si>
  <si>
    <t>twin turboprop</t>
  </si>
  <si>
    <t>Flying boat</t>
  </si>
  <si>
    <t>Equivalent Aspect Ratio= aMcmax</t>
  </si>
  <si>
    <t>Jet aircraft</t>
  </si>
  <si>
    <t>jet trainer</t>
  </si>
  <si>
    <t>Jet fighter (dogfighter)</t>
  </si>
  <si>
    <t>Jet fighter (other)</t>
  </si>
  <si>
    <t>7.50 to 10</t>
  </si>
  <si>
    <t>Aircraft Type</t>
  </si>
  <si>
    <t>Typical Installed T/W</t>
  </si>
  <si>
    <t>0.25-4</t>
  </si>
  <si>
    <t>Military cargo/Bomber</t>
  </si>
  <si>
    <t>Jet transport (higher value for fewer engines)</t>
  </si>
  <si>
    <t>(watt/g)</t>
  </si>
  <si>
    <t>Typical P/W</t>
  </si>
  <si>
    <t>Typical Power Loading (Ib/hp)</t>
  </si>
  <si>
    <t>Powered sailplane</t>
  </si>
  <si>
    <t>Homebuilt</t>
  </si>
  <si>
    <t>General aviation- single engine</t>
  </si>
  <si>
    <t>General aviation- main engine</t>
  </si>
  <si>
    <t>Agricultural</t>
  </si>
  <si>
    <t>Twin Turboprop</t>
  </si>
  <si>
    <t>hp/Ib</t>
  </si>
  <si>
    <t>T/W0=aMcmax</t>
  </si>
  <si>
    <t>a (imperial)</t>
  </si>
  <si>
    <t>a (metric)</t>
  </si>
  <si>
    <t>Sailplane-powered</t>
  </si>
  <si>
    <t>Homebuilt-metal/wood</t>
  </si>
  <si>
    <t>Homebuilt-composite</t>
  </si>
  <si>
    <t>General aviation-single engine</t>
  </si>
  <si>
    <t>General aviation-twin engine</t>
  </si>
  <si>
    <t>T/W0=alphaMcmax</t>
  </si>
  <si>
    <t>a                                         C</t>
  </si>
  <si>
    <t>Historical Trends</t>
  </si>
  <si>
    <t>Ib/ft^2</t>
  </si>
  <si>
    <t>(kg/m^2)</t>
  </si>
  <si>
    <t>Sailplane</t>
  </si>
  <si>
    <t>Jet transport/bomber</t>
  </si>
  <si>
    <t>Typical Takeoff W/S</t>
  </si>
  <si>
    <t>Airspeed</t>
  </si>
  <si>
    <t>Vend</t>
  </si>
  <si>
    <t>Vwod</t>
  </si>
  <si>
    <t>Vthrust</t>
  </si>
  <si>
    <t xml:space="preserve">density </t>
  </si>
  <si>
    <t>slug/ft^3</t>
  </si>
  <si>
    <t>kg/m^3</t>
  </si>
  <si>
    <t>(W/S)takeoff</t>
  </si>
  <si>
    <t>density ratio</t>
  </si>
  <si>
    <t>sigma</t>
  </si>
  <si>
    <t>sea level standard day</t>
  </si>
  <si>
    <t>hot day at 5000ft</t>
  </si>
  <si>
    <t>Sa</t>
  </si>
  <si>
    <t>airliner-type, 3-deg glidescope</t>
  </si>
  <si>
    <t>general-aviation-type power-off approach</t>
  </si>
  <si>
    <t>STOL, 7-deg glideslope</t>
  </si>
  <si>
    <t>airliner-type, 3-deg glidescope metric</t>
  </si>
  <si>
    <t>general-aviation-type power-off approach (metric)</t>
  </si>
  <si>
    <t>STOL, 7-deg glideslope (metric)</t>
  </si>
  <si>
    <t>Clmax takeoff</t>
  </si>
  <si>
    <t>Slanding</t>
  </si>
  <si>
    <t>W/S</t>
  </si>
  <si>
    <t>pi</t>
  </si>
  <si>
    <t>e</t>
  </si>
  <si>
    <t>CD0</t>
  </si>
  <si>
    <t>Maximum jet range</t>
  </si>
  <si>
    <t>Maximum prop range</t>
  </si>
  <si>
    <t>Maximum jet loiter</t>
  </si>
  <si>
    <t>Maximum prop loiter</t>
  </si>
  <si>
    <t>ψ^.</t>
  </si>
  <si>
    <t>Velocity</t>
  </si>
  <si>
    <t>n</t>
  </si>
  <si>
    <t>sustained turn</t>
  </si>
  <si>
    <t>T/W</t>
  </si>
  <si>
    <t>Instantenous turn</t>
  </si>
  <si>
    <t>D/W</t>
  </si>
  <si>
    <t>Cdo</t>
  </si>
  <si>
    <t>sailplane- unpowered</t>
  </si>
  <si>
    <t>length = aW0^C</t>
  </si>
  <si>
    <t>sailplane- powered</t>
  </si>
  <si>
    <t>Homebuilt- metal/Wood</t>
  </si>
  <si>
    <t>Homebuilt- composite</t>
  </si>
  <si>
    <t>General aviation- twin engine</t>
  </si>
  <si>
    <t>a metric</t>
  </si>
  <si>
    <t>a imperial</t>
  </si>
  <si>
    <t>tail volume coefficient</t>
  </si>
  <si>
    <t>CHT</t>
  </si>
  <si>
    <t>CVT</t>
  </si>
  <si>
    <t>Length</t>
  </si>
  <si>
    <t>W0 final</t>
  </si>
  <si>
    <t>SVT</t>
  </si>
  <si>
    <t>SHT</t>
  </si>
  <si>
    <t>bw</t>
  </si>
  <si>
    <t>Sw</t>
  </si>
  <si>
    <t>Lvt</t>
  </si>
  <si>
    <t>Lht</t>
  </si>
  <si>
    <t>Cw</t>
  </si>
  <si>
    <t>Tail Volume Coefficient</t>
  </si>
  <si>
    <t>Typical values</t>
  </si>
  <si>
    <t>0.07-0.12</t>
  </si>
  <si>
    <t>control surface sizing</t>
  </si>
  <si>
    <t>Aircraft</t>
  </si>
  <si>
    <t>Elevator Ce/C</t>
  </si>
  <si>
    <t>Rudder Cr/C</t>
  </si>
  <si>
    <t>Fighter/attack</t>
  </si>
  <si>
    <t>Biz jet</t>
  </si>
  <si>
    <t>GA twin</t>
  </si>
  <si>
    <t>GA single</t>
  </si>
  <si>
    <r>
      <t>ANYTHING FURTHER THAN THIS SHEET (</t>
    </r>
    <r>
      <rPr>
        <i/>
        <sz val="11"/>
        <color theme="1"/>
        <rFont val="Calibri"/>
        <family val="2"/>
        <scheme val="minor"/>
      </rPr>
      <t>in terms of raymer</t>
    </r>
    <r>
      <rPr>
        <sz val="11"/>
        <color theme="1"/>
        <rFont val="Calibri"/>
        <family val="2"/>
        <scheme val="minor"/>
      </rPr>
      <t>) GOES INTO THE DETAILING OF IT ALL, AT THAT POINT THE FIXED WING WOULD'VE BEEN SELECTED AND THE EARLY CALCULATIONS ARE DONE AND OUT OF THE WAY</t>
    </r>
  </si>
  <si>
    <t>Wpl</t>
  </si>
  <si>
    <t>wb/w0</t>
  </si>
  <si>
    <t>Kv</t>
  </si>
  <si>
    <t>Wm</t>
  </si>
  <si>
    <t>Pm max</t>
  </si>
  <si>
    <t>Motor</t>
  </si>
  <si>
    <t>Overall weight distribution</t>
  </si>
  <si>
    <t>Battery</t>
  </si>
  <si>
    <t>Qb</t>
  </si>
  <si>
    <t>wb</t>
  </si>
  <si>
    <t>Amax</t>
  </si>
  <si>
    <t>Crate</t>
  </si>
  <si>
    <t>Wpl + W fix</t>
  </si>
  <si>
    <t>Tcreq</t>
  </si>
  <si>
    <t>g</t>
  </si>
  <si>
    <t>N</t>
  </si>
  <si>
    <t>Pid</t>
  </si>
  <si>
    <t>ρ</t>
  </si>
  <si>
    <t>FM calculated</t>
  </si>
  <si>
    <t>FM estimation</t>
  </si>
  <si>
    <t>Tact</t>
  </si>
  <si>
    <t>Pact</t>
  </si>
  <si>
    <t>Tid</t>
  </si>
  <si>
    <t>Pin</t>
  </si>
  <si>
    <t>Pcreq</t>
  </si>
  <si>
    <t>k</t>
  </si>
  <si>
    <t xml:space="preserve">Battery selection and theoretical </t>
  </si>
  <si>
    <t>P req</t>
  </si>
  <si>
    <t>Adraw</t>
  </si>
  <si>
    <t>Vnom</t>
  </si>
  <si>
    <t>t avail</t>
  </si>
  <si>
    <t>Iterative Design Refinement</t>
  </si>
  <si>
    <t>(Wb/W0)k</t>
  </si>
  <si>
    <t>δk-1</t>
  </si>
  <si>
    <t>T 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</si>
</sst>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2" fontId="0" fillId="0" borderId="2" xfId="0" applyNumberFormat="1" applyBorder="1"/>
    <xf numFmtId="165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2" fontId="0" fillId="0" borderId="7" xfId="0" applyNumberFormat="1" applyBorder="1"/>
    <xf numFmtId="165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/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6" xfId="0" applyBorder="1"/>
    <xf numFmtId="0" fontId="0" fillId="0" borderId="8" xfId="0" applyBorder="1"/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0" fillId="0" borderId="3" xfId="0" applyBorder="1"/>
    <xf numFmtId="0" fontId="5" fillId="0" borderId="0" xfId="0" applyFont="1"/>
    <xf numFmtId="0" fontId="5" fillId="0" borderId="16" xfId="0" applyFont="1" applyBorder="1"/>
    <xf numFmtId="0" fontId="0" fillId="0" borderId="31" xfId="0" applyBorder="1"/>
    <xf numFmtId="0" fontId="6" fillId="0" borderId="2" xfId="0" applyFont="1" applyBorder="1"/>
    <xf numFmtId="164" fontId="0" fillId="0" borderId="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63874</xdr:rowOff>
    </xdr:from>
    <xdr:to>
      <xdr:col>4</xdr:col>
      <xdr:colOff>266730</xdr:colOff>
      <xdr:row>47</xdr:row>
      <xdr:rowOff>149017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5B00C-2F05-41B6-86C3-F9BAB94C7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374"/>
          <a:ext cx="4211201" cy="4657143"/>
        </a:xfrm>
        <a:prstGeom prst="rect">
          <a:avLst/>
        </a:prstGeom>
      </xdr:spPr>
    </xdr:pic>
    <xdr:clientData/>
  </xdr:twoCellAnchor>
  <xdr:twoCellAnchor>
    <xdr:from>
      <xdr:col>2</xdr:col>
      <xdr:colOff>515474</xdr:colOff>
      <xdr:row>2</xdr:row>
      <xdr:rowOff>56030</xdr:rowOff>
    </xdr:from>
    <xdr:to>
      <xdr:col>4</xdr:col>
      <xdr:colOff>22411</xdr:colOff>
      <xdr:row>28</xdr:row>
      <xdr:rowOff>56030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22722F02-1BF8-4718-863C-3E493A067D53}"/>
            </a:ext>
          </a:extLst>
        </xdr:cNvPr>
        <xdr:cNvCxnSpPr/>
      </xdr:nvCxnSpPr>
      <xdr:spPr>
        <a:xfrm rot="5400000">
          <a:off x="1131796" y="2554943"/>
          <a:ext cx="4953000" cy="717173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28575</xdr:rowOff>
    </xdr:from>
    <xdr:to>
      <xdr:col>6</xdr:col>
      <xdr:colOff>742744</xdr:colOff>
      <xdr:row>7</xdr:row>
      <xdr:rowOff>142718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FDCCBC-1186-428F-BC35-A5AFD1727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219075"/>
          <a:ext cx="1647619" cy="12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</xdr:colOff>
      <xdr:row>9</xdr:row>
      <xdr:rowOff>180975</xdr:rowOff>
    </xdr:from>
    <xdr:to>
      <xdr:col>7</xdr:col>
      <xdr:colOff>463280</xdr:colOff>
      <xdr:row>14</xdr:row>
      <xdr:rowOff>6254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38B08A-D235-4A6D-9FA5-FB4A3ED5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4125" y="1838325"/>
          <a:ext cx="2161905" cy="746029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546100</xdr:colOff>
      <xdr:row>36</xdr:row>
      <xdr:rowOff>6350</xdr:rowOff>
    </xdr:from>
    <xdr:to>
      <xdr:col>9</xdr:col>
      <xdr:colOff>513681</xdr:colOff>
      <xdr:row>40</xdr:row>
      <xdr:rowOff>174512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E23A73-2778-4389-AFB6-C42F895E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3150" y="6635750"/>
          <a:ext cx="5352381" cy="9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368301</xdr:colOff>
      <xdr:row>40</xdr:row>
      <xdr:rowOff>133350</xdr:rowOff>
    </xdr:from>
    <xdr:to>
      <xdr:col>7</xdr:col>
      <xdr:colOff>63501</xdr:colOff>
      <xdr:row>59</xdr:row>
      <xdr:rowOff>118634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585809-AFB3-4D10-B3D6-E2E0A87B1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6301" y="7753350"/>
          <a:ext cx="3378200" cy="360478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14</xdr:col>
      <xdr:colOff>134210</xdr:colOff>
      <xdr:row>54</xdr:row>
      <xdr:rowOff>181348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F45AEE-EDBC-41AB-9804-30E02DB08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68846" y="9280769"/>
          <a:ext cx="4838095" cy="92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314961</xdr:colOff>
      <xdr:row>1</xdr:row>
      <xdr:rowOff>167640</xdr:rowOff>
    </xdr:from>
    <xdr:to>
      <xdr:col>11</xdr:col>
      <xdr:colOff>2541</xdr:colOff>
      <xdr:row>16</xdr:row>
      <xdr:rowOff>160949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0AEF96-7D87-4330-8EE4-64D5A1AA5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5"/>
        <a:stretch/>
      </xdr:blipFill>
      <xdr:spPr>
        <a:xfrm>
          <a:off x="3172461" y="350520"/>
          <a:ext cx="3954780" cy="2736509"/>
        </a:xfrm>
        <a:prstGeom prst="rect">
          <a:avLst/>
        </a:prstGeom>
      </xdr:spPr>
    </xdr:pic>
    <xdr:clientData/>
  </xdr:twoCellAnchor>
  <xdr:twoCellAnchor editAs="oneCell">
    <xdr:from>
      <xdr:col>5</xdr:col>
      <xdr:colOff>160130</xdr:colOff>
      <xdr:row>18</xdr:row>
      <xdr:rowOff>63499</xdr:rowOff>
    </xdr:from>
    <xdr:to>
      <xdr:col>12</xdr:col>
      <xdr:colOff>110434</xdr:colOff>
      <xdr:row>38</xdr:row>
      <xdr:rowOff>121227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5F17F0-F707-4E94-B7E0-B7D85B1F7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790" r="4887"/>
        <a:stretch/>
      </xdr:blipFill>
      <xdr:spPr>
        <a:xfrm>
          <a:off x="3589130" y="3492499"/>
          <a:ext cx="4240695" cy="3917424"/>
        </a:xfrm>
        <a:prstGeom prst="rect">
          <a:avLst/>
        </a:prstGeom>
      </xdr:spPr>
    </xdr:pic>
    <xdr:clientData/>
  </xdr:twoCellAnchor>
  <xdr:twoCellAnchor editAs="oneCell">
    <xdr:from>
      <xdr:col>6</xdr:col>
      <xdr:colOff>579582</xdr:colOff>
      <xdr:row>46</xdr:row>
      <xdr:rowOff>20783</xdr:rowOff>
    </xdr:from>
    <xdr:to>
      <xdr:col>14</xdr:col>
      <xdr:colOff>388880</xdr:colOff>
      <xdr:row>65</xdr:row>
      <xdr:rowOff>115456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0296F1-DEF2-40C6-904F-CA589B15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6673" y="8575965"/>
          <a:ext cx="4704571" cy="3673764"/>
        </a:xfrm>
        <a:prstGeom prst="rect">
          <a:avLst/>
        </a:prstGeom>
      </xdr:spPr>
    </xdr:pic>
    <xdr:clientData/>
  </xdr:twoCellAnchor>
  <xdr:twoCellAnchor editAs="oneCell">
    <xdr:from>
      <xdr:col>5</xdr:col>
      <xdr:colOff>469347</xdr:colOff>
      <xdr:row>67</xdr:row>
      <xdr:rowOff>147712</xdr:rowOff>
    </xdr:from>
    <xdr:to>
      <xdr:col>12</xdr:col>
      <xdr:colOff>344356</xdr:colOff>
      <xdr:row>85</xdr:row>
      <xdr:rowOff>72559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710DF8-7D2E-43AE-82EC-DC8DF1A73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25956" y="12488799"/>
          <a:ext cx="4126748" cy="3226846"/>
        </a:xfrm>
        <a:prstGeom prst="rect">
          <a:avLst/>
        </a:prstGeom>
      </xdr:spPr>
    </xdr:pic>
    <xdr:clientData/>
  </xdr:twoCellAnchor>
  <xdr:twoCellAnchor editAs="oneCell">
    <xdr:from>
      <xdr:col>5</xdr:col>
      <xdr:colOff>577274</xdr:colOff>
      <xdr:row>85</xdr:row>
      <xdr:rowOff>127000</xdr:rowOff>
    </xdr:from>
    <xdr:to>
      <xdr:col>13</xdr:col>
      <xdr:colOff>14175</xdr:colOff>
      <xdr:row>106</xdr:row>
      <xdr:rowOff>23091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DBF618-C397-47E6-803B-5C885232C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2456" y="15990455"/>
          <a:ext cx="4332174" cy="3775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182215</xdr:colOff>
      <xdr:row>0</xdr:row>
      <xdr:rowOff>115135</xdr:rowOff>
    </xdr:from>
    <xdr:to>
      <xdr:col>10</xdr:col>
      <xdr:colOff>160129</xdr:colOff>
      <xdr:row>16</xdr:row>
      <xdr:rowOff>110435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3ADB4-1006-4460-85AC-F858C694A7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70" r="3197" b="4079"/>
        <a:stretch/>
      </xdr:blipFill>
      <xdr:spPr>
        <a:xfrm>
          <a:off x="2203172" y="115135"/>
          <a:ext cx="4229653" cy="2910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1</xdr:row>
      <xdr:rowOff>38100</xdr:rowOff>
    </xdr:from>
    <xdr:to>
      <xdr:col>5</xdr:col>
      <xdr:colOff>586681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0DC0BA-079C-4E46-BBD6-AA72055E1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6" y="228600"/>
          <a:ext cx="1139130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16</xdr:row>
      <xdr:rowOff>38099</xdr:rowOff>
    </xdr:from>
    <xdr:to>
      <xdr:col>8</xdr:col>
      <xdr:colOff>593374</xdr:colOff>
      <xdr:row>28</xdr:row>
      <xdr:rowOff>106736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D916B0-79BE-4849-B17C-AF8A59FEB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3086099"/>
          <a:ext cx="2965099" cy="2354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28574</xdr:rowOff>
    </xdr:from>
    <xdr:to>
      <xdr:col>2</xdr:col>
      <xdr:colOff>384206</xdr:colOff>
      <xdr:row>59</xdr:row>
      <xdr:rowOff>123311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96C0BE-C9CD-47D1-A5AA-B2DF8FB6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91574"/>
          <a:ext cx="3203606" cy="2571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5</xdr:row>
      <xdr:rowOff>133350</xdr:rowOff>
    </xdr:from>
    <xdr:to>
      <xdr:col>9</xdr:col>
      <xdr:colOff>447469</xdr:colOff>
      <xdr:row>8</xdr:row>
      <xdr:rowOff>133279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750F17-1D15-45AD-9AEF-76728F9C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1085850"/>
          <a:ext cx="1647619" cy="5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</xdr:row>
      <xdr:rowOff>28575</xdr:rowOff>
    </xdr:from>
    <xdr:to>
      <xdr:col>8</xdr:col>
      <xdr:colOff>447544</xdr:colOff>
      <xdr:row>5</xdr:row>
      <xdr:rowOff>28527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B5D0F-108A-43C0-A9D1-D9C262AD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600075"/>
          <a:ext cx="1047619" cy="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9</xdr:col>
      <xdr:colOff>276043</xdr:colOff>
      <xdr:row>3</xdr:row>
      <xdr:rowOff>47548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2C824A-7727-45C2-8DE8-C3E63EF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0"/>
          <a:ext cx="1457143" cy="6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9</xdr:row>
      <xdr:rowOff>85725</xdr:rowOff>
    </xdr:from>
    <xdr:to>
      <xdr:col>12</xdr:col>
      <xdr:colOff>9150</xdr:colOff>
      <xdr:row>11</xdr:row>
      <xdr:rowOff>142820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30FF7A-FC67-4276-81FA-A780580AD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24350" y="1800225"/>
          <a:ext cx="3000000" cy="4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12</xdr:row>
      <xdr:rowOff>19050</xdr:rowOff>
    </xdr:from>
    <xdr:to>
      <xdr:col>9</xdr:col>
      <xdr:colOff>495095</xdr:colOff>
      <xdr:row>16</xdr:row>
      <xdr:rowOff>85621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0785B7-B42D-4BA4-BAB4-58F05CC8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3400" y="2305050"/>
          <a:ext cx="1638095" cy="828571"/>
        </a:xfrm>
        <a:prstGeom prst="rect">
          <a:avLst/>
        </a:prstGeom>
      </xdr:spPr>
    </xdr:pic>
    <xdr:clientData/>
  </xdr:twoCellAnchor>
  <xdr:twoCellAnchor>
    <xdr:from>
      <xdr:col>9</xdr:col>
      <xdr:colOff>257175</xdr:colOff>
      <xdr:row>14</xdr:row>
      <xdr:rowOff>9525</xdr:rowOff>
    </xdr:from>
    <xdr:to>
      <xdr:col>10</xdr:col>
      <xdr:colOff>390525</xdr:colOff>
      <xdr:row>15</xdr:row>
      <xdr:rowOff>133350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E0415D5-A601-490B-A43E-CCB206894FBF}"/>
            </a:ext>
          </a:extLst>
        </xdr:cNvPr>
        <xdr:cNvCxnSpPr/>
      </xdr:nvCxnSpPr>
      <xdr:spPr>
        <a:xfrm flipH="1" flipV="1">
          <a:off x="5743575" y="2676525"/>
          <a:ext cx="74295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15</xdr:row>
      <xdr:rowOff>38100</xdr:rowOff>
    </xdr:from>
    <xdr:to>
      <xdr:col>13</xdr:col>
      <xdr:colOff>85725</xdr:colOff>
      <xdr:row>19</xdr:row>
      <xdr:rowOff>161925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8CAE37-8206-4E1C-B7A3-9DE059F14A20}"/>
            </a:ext>
          </a:extLst>
        </xdr:cNvPr>
        <xdr:cNvSpPr txBox="1"/>
      </xdr:nvSpPr>
      <xdr:spPr>
        <a:xfrm>
          <a:off x="6505575" y="2895600"/>
          <a:ext cx="1504950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 used as</a:t>
          </a:r>
          <a:r>
            <a:rPr lang="en-GB" sz="1100" baseline="0"/>
            <a:t> pl and fix is sorted, re arrange to get empty and battery weight tbh (w0 is given)</a:t>
          </a:r>
          <a:endParaRPr lang="en-GB" sz="1100"/>
        </a:p>
      </xdr:txBody>
    </xdr:sp>
    <xdr:clientData/>
  </xdr:twoCellAnchor>
  <xdr:twoCellAnchor>
    <xdr:from>
      <xdr:col>2</xdr:col>
      <xdr:colOff>561976</xdr:colOff>
      <xdr:row>4</xdr:row>
      <xdr:rowOff>76200</xdr:rowOff>
    </xdr:from>
    <xdr:to>
      <xdr:col>2</xdr:col>
      <xdr:colOff>590552</xdr:colOff>
      <xdr:row>15</xdr:row>
      <xdr:rowOff>161927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A8FEA624-2BA7-4DD7-B178-56E059598F76}"/>
            </a:ext>
          </a:extLst>
        </xdr:cNvPr>
        <xdr:cNvCxnSpPr/>
      </xdr:nvCxnSpPr>
      <xdr:spPr>
        <a:xfrm rot="5400000">
          <a:off x="828675" y="1914526"/>
          <a:ext cx="2181227" cy="2857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10</xdr:row>
      <xdr:rowOff>114273</xdr:rowOff>
    </xdr:from>
    <xdr:to>
      <xdr:col>7</xdr:col>
      <xdr:colOff>57150</xdr:colOff>
      <xdr:row>16</xdr:row>
      <xdr:rowOff>47625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AA07145-9BF8-41E9-B888-7C2CCACBC574}"/>
            </a:ext>
          </a:extLst>
        </xdr:cNvPr>
        <xdr:cNvCxnSpPr>
          <a:endCxn id="5" idx="1"/>
        </xdr:cNvCxnSpPr>
      </xdr:nvCxnSpPr>
      <xdr:spPr>
        <a:xfrm flipV="1">
          <a:off x="1333500" y="2019273"/>
          <a:ext cx="3114675" cy="10763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6</xdr:row>
      <xdr:rowOff>38100</xdr:rowOff>
    </xdr:from>
    <xdr:to>
      <xdr:col>6</xdr:col>
      <xdr:colOff>152232</xdr:colOff>
      <xdr:row>9</xdr:row>
      <xdr:rowOff>190410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FFE1-7D89-4362-8D11-D6FD4246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1181100"/>
          <a:ext cx="1342857" cy="723810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1</xdr:row>
      <xdr:rowOff>104775</xdr:rowOff>
    </xdr:from>
    <xdr:to>
      <xdr:col>6</xdr:col>
      <xdr:colOff>199894</xdr:colOff>
      <xdr:row>4</xdr:row>
      <xdr:rowOff>66608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F1C386-4EDA-46A0-A93E-A66CB0A5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6100" y="295275"/>
          <a:ext cx="1047619" cy="5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12</xdr:row>
      <xdr:rowOff>47625</xdr:rowOff>
    </xdr:from>
    <xdr:to>
      <xdr:col>5</xdr:col>
      <xdr:colOff>257069</xdr:colOff>
      <xdr:row>14</xdr:row>
      <xdr:rowOff>180911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7BD344-081A-4D32-91FE-7C9545147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3675" y="2333625"/>
          <a:ext cx="847619" cy="5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12</xdr:row>
      <xdr:rowOff>9525</xdr:rowOff>
    </xdr:from>
    <xdr:to>
      <xdr:col>7</xdr:col>
      <xdr:colOff>230006</xdr:colOff>
      <xdr:row>15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E5FD61-491C-4BFA-B76C-E1255996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50" y="2295525"/>
          <a:ext cx="1058681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12</xdr:row>
      <xdr:rowOff>104775</xdr:rowOff>
    </xdr:from>
    <xdr:to>
      <xdr:col>9</xdr:col>
      <xdr:colOff>609394</xdr:colOff>
      <xdr:row>14</xdr:row>
      <xdr:rowOff>152346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87DC1B-6A7B-48C3-8857-4CD2C0844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4400" y="2390775"/>
          <a:ext cx="1647619" cy="4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21</xdr:row>
      <xdr:rowOff>95249</xdr:rowOff>
    </xdr:from>
    <xdr:to>
      <xdr:col>6</xdr:col>
      <xdr:colOff>499639</xdr:colOff>
      <xdr:row>24</xdr:row>
      <xdr:rowOff>152310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FDC5C4-302F-4507-B2FA-9BCD81B0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90825" y="4095749"/>
          <a:ext cx="1642639" cy="628561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28</xdr:row>
      <xdr:rowOff>57150</xdr:rowOff>
    </xdr:from>
    <xdr:to>
      <xdr:col>5</xdr:col>
      <xdr:colOff>580887</xdr:colOff>
      <xdr:row>31</xdr:row>
      <xdr:rowOff>18983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923AD8-0272-4BEF-8A0A-BE75AAC7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00350" y="5391150"/>
          <a:ext cx="1104762" cy="5333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kram Choudhury (Student)" id="{BE5CC13C-A569-4B9A-803F-AD8109BDE1EA}" userId="Ikram Choudhury (Student)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" dT="2019-10-17T21:03:23.90" personId="{BE5CC13C-A569-4B9A-803F-AD8109BDE1EA}" id="{8F3EDB3C-9C04-45CB-A7DA-0CFE7112957D}">
    <text>table 3.2</text>
  </threadedComment>
  <threadedComment ref="B3" dT="2019-10-17T21:03:33.80" personId="{BE5CC13C-A569-4B9A-803F-AD8109BDE1EA}" id="{7E5BD6C0-84E9-474F-A42B-04AC313F9F66}">
    <text>table 3.2</text>
  </threadedComment>
  <threadedComment ref="C4" dT="2019-10-17T21:04:03.80" personId="{BE5CC13C-A569-4B9A-803F-AD8109BDE1EA}" id="{15FE18BC-FD08-457C-9DB5-E704F8324315}">
    <text>R nmi</text>
  </threadedComment>
  <threadedComment ref="D4" dT="2019-10-17T21:04:15.44" personId="{BE5CC13C-A569-4B9A-803F-AD8109BDE1EA}" id="{87824E6A-0D77-4D5F-8ED7-420F1CF304D1}">
    <text>feet</text>
  </threadedComment>
  <threadedComment ref="C9" dT="2019-10-17T21:06:18.50" personId="{BE5CC13C-A569-4B9A-803F-AD8109BDE1EA}" id="{F210DD87-AC45-45CF-BCDE-AA4E80B3AE55}">
    <text>in hours</text>
  </threadedComment>
  <threadedComment ref="D9" dT="2019-10-17T21:06:40.48" personId="{BE5CC13C-A569-4B9A-803F-AD8109BDE1EA}" id="{DCDA13C9-0878-42F0-8E7B-01D084FAFEE4}">
    <text>seconds</text>
  </threadedComment>
  <threadedComment ref="C10" dT="2019-10-17T21:06:25.66" personId="{BE5CC13C-A569-4B9A-803F-AD8109BDE1EA}" id="{1344E1A5-F040-4267-9C80-3F3C4370A9EA}">
    <text>per hour</text>
  </threadedComment>
  <threadedComment ref="D10" dT="2019-10-17T21:06:48.09" personId="{BE5CC13C-A569-4B9A-803F-AD8109BDE1EA}" id="{E12DB36F-3FF2-4E4B-9007-1D20246F9B7E}">
    <text>per seconds</text>
  </threadedComment>
  <threadedComment ref="C13" dT="2019-10-17T21:04:03.80" personId="{BE5CC13C-A569-4B9A-803F-AD8109BDE1EA}" id="{B5AD013B-85ED-4314-B53E-BB1FFED4D929}">
    <text>R nmi</text>
  </threadedComment>
  <threadedComment ref="D13" dT="2019-10-17T21:04:15.44" personId="{BE5CC13C-A569-4B9A-803F-AD8109BDE1EA}" id="{190235EB-D0B1-43D2-A23F-BB626E20A750}">
    <text>feet</text>
  </threadedComment>
  <threadedComment ref="C18" dT="2019-10-17T21:06:18.50" personId="{BE5CC13C-A569-4B9A-803F-AD8109BDE1EA}" id="{75AC5E69-33FC-441D-BDEB-A20630EA73F0}">
    <text>in hours</text>
  </threadedComment>
  <threadedComment ref="D18" dT="2019-10-17T21:06:40.48" personId="{BE5CC13C-A569-4B9A-803F-AD8109BDE1EA}" id="{AB7FED1C-2506-4B50-B921-D87B58EF1CD4}">
    <text>seconds</text>
  </threadedComment>
  <threadedComment ref="C19" dT="2019-10-17T21:06:25.66" personId="{BE5CC13C-A569-4B9A-803F-AD8109BDE1EA}" id="{DBCF0427-CAEC-4AAD-8769-FD4104FDE173}">
    <text>per hour</text>
  </threadedComment>
  <threadedComment ref="D19" dT="2019-10-17T21:06:48.09" personId="{BE5CC13C-A569-4B9A-803F-AD8109BDE1EA}" id="{880E09A6-843B-44A7-B387-305AC0C96898}">
    <text>per seconds</text>
  </threadedComment>
  <threadedComment ref="B22" dT="2019-10-17T21:08:43.08" personId="{BE5CC13C-A569-4B9A-803F-AD8109BDE1EA}" id="{F7C83A8D-3AD9-454F-8FE6-6E892BCC5C58}">
    <text>table 3.2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5" dT="2019-10-18T01:25:18.28" personId="{BE5CC13C-A569-4B9A-803F-AD8109BDE1EA}" id="{D4E0F925-E275-40B5-981A-158CCF6DB27D}">
    <text>dynamic pressure</text>
  </threadedComment>
  <threadedComment ref="B6" dT="2019-10-18T01:25:02.52" personId="{BE5CC13C-A569-4B9A-803F-AD8109BDE1EA}" id="{46D092F4-0B87-4F8E-8A98-5AD158B9C2B2}">
    <text>chord length</text>
  </threadedComment>
  <threadedComment ref="B7" dT="2019-10-18T01:26:22.10" personId="{BE5CC13C-A569-4B9A-803F-AD8109BDE1EA}" id="{0660FB28-C1B0-4F3A-A5BF-6AE8DFF19084}">
    <text>angle of attack</text>
  </threadedComment>
  <threadedComment ref="C22" dT="2019-10-18T04:27:41.09" personId="{BE5CC13C-A569-4B9A-803F-AD8109BDE1EA}" id="{005C7C8C-000F-408F-BC9E-B84D16433209}">
    <text>needs L/D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3" dT="2019-10-18T04:28:00.03" personId="{BE5CC13C-A569-4B9A-803F-AD8109BDE1EA}" id="{67C4D1E6-5312-42A1-BD64-FADCE7CEC2A8}">
    <text>speed of wind over deck</text>
  </threadedComment>
  <threadedComment ref="A23" dT="2019-10-18T05:02:47.22" personId="{BE5CC13C-A569-4B9A-803F-AD8109BDE1EA}" id="{1EF7D072-A09D-47A0-8A74-CC6B9D090729}">
    <text>obstacle-clearance distance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5353-FE10-4A80-B64D-8A43DF50CDD6}">
  <sheetPr>
    <tabColor rgb="FFFFC000"/>
  </sheetPr>
  <dimension ref="C3:D9"/>
  <sheetViews>
    <sheetView workbookViewId="0">
      <selection activeCell="G35" sqref="G35"/>
    </sheetView>
  </sheetViews>
  <sheetFormatPr defaultRowHeight="15" x14ac:dyDescent="0.25"/>
  <cols>
    <col min="3" max="3" width="9.85546875" bestFit="1" customWidth="1"/>
  </cols>
  <sheetData>
    <row r="3" spans="3:4" x14ac:dyDescent="0.25">
      <c r="C3" t="s">
        <v>0</v>
      </c>
      <c r="D3">
        <f>(D4+D5)/(1-(D8)-D9)</f>
        <v>0</v>
      </c>
    </row>
    <row r="4" spans="3:4" x14ac:dyDescent="0.25">
      <c r="C4" t="s">
        <v>1</v>
      </c>
    </row>
    <row r="5" spans="3:4" x14ac:dyDescent="0.25">
      <c r="C5" t="s">
        <v>2</v>
      </c>
    </row>
    <row r="6" spans="3:4" x14ac:dyDescent="0.25">
      <c r="C6" t="s">
        <v>3</v>
      </c>
    </row>
    <row r="7" spans="3:4" x14ac:dyDescent="0.25">
      <c r="C7" t="s">
        <v>4</v>
      </c>
    </row>
    <row r="8" spans="3:4" x14ac:dyDescent="0.25">
      <c r="C8" t="s">
        <v>6</v>
      </c>
    </row>
    <row r="9" spans="3:4" x14ac:dyDescent="0.25">
      <c r="C9" t="s">
        <v>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B249-D9E2-446C-8AA7-0DCAA1A7D97B}">
  <sheetPr>
    <tabColor rgb="FFFFC000"/>
  </sheetPr>
  <dimension ref="A1:J68"/>
  <sheetViews>
    <sheetView topLeftCell="A34" workbookViewId="0">
      <selection activeCell="E33" sqref="E33:I37"/>
    </sheetView>
  </sheetViews>
  <sheetFormatPr defaultRowHeight="15" x14ac:dyDescent="0.25"/>
  <cols>
    <col min="1" max="1" width="29.140625" bestFit="1" customWidth="1"/>
    <col min="2" max="2" width="13.140625" bestFit="1" customWidth="1"/>
    <col min="3" max="3" width="11.7109375" bestFit="1" customWidth="1"/>
  </cols>
  <sheetData>
    <row r="1" spans="1:4" x14ac:dyDescent="0.25">
      <c r="A1" t="s">
        <v>214</v>
      </c>
      <c r="B1" t="s">
        <v>220</v>
      </c>
      <c r="C1" t="s">
        <v>219</v>
      </c>
      <c r="D1" t="s">
        <v>8</v>
      </c>
    </row>
    <row r="2" spans="1:4" x14ac:dyDescent="0.25">
      <c r="A2" t="s">
        <v>213</v>
      </c>
      <c r="B2">
        <v>0.86</v>
      </c>
      <c r="C2">
        <v>0.38300000000000001</v>
      </c>
      <c r="D2">
        <v>0.48</v>
      </c>
    </row>
    <row r="3" spans="1:4" x14ac:dyDescent="0.25">
      <c r="A3" t="s">
        <v>215</v>
      </c>
      <c r="B3">
        <v>0.71</v>
      </c>
      <c r="C3">
        <v>0.316</v>
      </c>
      <c r="D3">
        <v>0.48</v>
      </c>
    </row>
    <row r="4" spans="1:4" x14ac:dyDescent="0.25">
      <c r="A4" t="s">
        <v>216</v>
      </c>
      <c r="B4">
        <v>3.68</v>
      </c>
      <c r="C4">
        <v>1.35</v>
      </c>
      <c r="D4">
        <v>0.23</v>
      </c>
    </row>
    <row r="5" spans="1:4" x14ac:dyDescent="0.25">
      <c r="A5" t="s">
        <v>217</v>
      </c>
      <c r="B5" s="82">
        <v>3.5</v>
      </c>
      <c r="C5" s="82">
        <v>1.28</v>
      </c>
      <c r="D5" s="82">
        <v>0.23</v>
      </c>
    </row>
    <row r="6" spans="1:4" x14ac:dyDescent="0.25">
      <c r="A6" t="s">
        <v>155</v>
      </c>
      <c r="B6">
        <v>4.37</v>
      </c>
      <c r="C6" s="82">
        <v>1.6</v>
      </c>
      <c r="D6">
        <v>0.23</v>
      </c>
    </row>
    <row r="7" spans="1:4" x14ac:dyDescent="0.25">
      <c r="A7" t="s">
        <v>218</v>
      </c>
      <c r="B7">
        <v>0.86</v>
      </c>
      <c r="C7">
        <v>0.36599999999999999</v>
      </c>
      <c r="D7">
        <v>0.42</v>
      </c>
    </row>
    <row r="8" spans="1:4" x14ac:dyDescent="0.25">
      <c r="A8" t="s">
        <v>136</v>
      </c>
      <c r="B8">
        <v>4.04</v>
      </c>
      <c r="C8">
        <v>1.48</v>
      </c>
      <c r="D8">
        <v>0.23</v>
      </c>
    </row>
    <row r="9" spans="1:4" x14ac:dyDescent="0.25">
      <c r="A9" t="s">
        <v>16</v>
      </c>
      <c r="B9">
        <v>0.37</v>
      </c>
      <c r="C9">
        <v>0.16900000000000001</v>
      </c>
      <c r="D9">
        <v>0.51</v>
      </c>
    </row>
    <row r="10" spans="1:4" x14ac:dyDescent="0.25">
      <c r="A10" t="s">
        <v>138</v>
      </c>
      <c r="B10">
        <v>1.05</v>
      </c>
      <c r="C10">
        <v>0.439</v>
      </c>
      <c r="D10" s="82">
        <v>0.4</v>
      </c>
    </row>
    <row r="11" spans="1:4" x14ac:dyDescent="0.25">
      <c r="A11" t="s">
        <v>18</v>
      </c>
      <c r="B11">
        <v>0.79</v>
      </c>
      <c r="C11">
        <v>0.33300000000000002</v>
      </c>
      <c r="D11">
        <v>0.41</v>
      </c>
    </row>
    <row r="12" spans="1:4" x14ac:dyDescent="0.25">
      <c r="A12" t="s">
        <v>19</v>
      </c>
      <c r="B12">
        <v>0.93</v>
      </c>
      <c r="C12">
        <v>0.38900000000000001</v>
      </c>
      <c r="D12">
        <v>0.39</v>
      </c>
    </row>
    <row r="13" spans="1:4" x14ac:dyDescent="0.25">
      <c r="A13" t="s">
        <v>20</v>
      </c>
      <c r="B13">
        <v>0.23</v>
      </c>
      <c r="C13">
        <v>0.104</v>
      </c>
      <c r="D13">
        <v>0.5</v>
      </c>
    </row>
    <row r="14" spans="1:4" x14ac:dyDescent="0.25">
      <c r="A14" t="s">
        <v>21</v>
      </c>
      <c r="B14">
        <v>0.67</v>
      </c>
      <c r="C14">
        <v>0.28699999999999998</v>
      </c>
      <c r="D14">
        <v>0.43</v>
      </c>
    </row>
    <row r="15" spans="1:4" x14ac:dyDescent="0.25">
      <c r="A15" t="s">
        <v>224</v>
      </c>
      <c r="B15">
        <f>B2*('the iterative and mission bit'!B44)^D2</f>
        <v>0</v>
      </c>
    </row>
    <row r="16" spans="1:4" x14ac:dyDescent="0.25">
      <c r="B16" s="16" t="s">
        <v>221</v>
      </c>
      <c r="C16" s="16"/>
      <c r="D16" s="16"/>
    </row>
    <row r="17" spans="1:3" x14ac:dyDescent="0.25">
      <c r="B17" t="s">
        <v>226</v>
      </c>
      <c r="C17" t="e">
        <f>(C25*C19*C20)/C21</f>
        <v>#DIV/0!</v>
      </c>
    </row>
    <row r="18" spans="1:3" x14ac:dyDescent="0.25">
      <c r="B18" t="s">
        <v>227</v>
      </c>
      <c r="C18" t="e">
        <f>(C24*C23*C20)/C22</f>
        <v>#DIV/0!</v>
      </c>
    </row>
    <row r="19" spans="1:3" x14ac:dyDescent="0.25">
      <c r="B19" t="s">
        <v>228</v>
      </c>
    </row>
    <row r="20" spans="1:3" x14ac:dyDescent="0.25">
      <c r="B20" t="s">
        <v>229</v>
      </c>
    </row>
    <row r="21" spans="1:3" x14ac:dyDescent="0.25">
      <c r="B21" t="s">
        <v>230</v>
      </c>
    </row>
    <row r="22" spans="1:3" x14ac:dyDescent="0.25">
      <c r="B22" t="s">
        <v>231</v>
      </c>
    </row>
    <row r="23" spans="1:3" x14ac:dyDescent="0.25">
      <c r="B23" t="s">
        <v>232</v>
      </c>
    </row>
    <row r="24" spans="1:3" x14ac:dyDescent="0.25">
      <c r="B24" t="s">
        <v>222</v>
      </c>
    </row>
    <row r="25" spans="1:3" x14ac:dyDescent="0.25">
      <c r="B25" t="s">
        <v>223</v>
      </c>
    </row>
    <row r="30" spans="1:3" x14ac:dyDescent="0.25">
      <c r="A30" s="16" t="s">
        <v>233</v>
      </c>
      <c r="B30" s="16"/>
      <c r="C30" s="16"/>
    </row>
    <row r="31" spans="1:3" x14ac:dyDescent="0.25">
      <c r="B31" s="16" t="s">
        <v>234</v>
      </c>
      <c r="C31" s="16"/>
    </row>
    <row r="32" spans="1:3" ht="15.75" thickBot="1" x14ac:dyDescent="0.3">
      <c r="B32" t="s">
        <v>222</v>
      </c>
      <c r="C32" t="s">
        <v>223</v>
      </c>
    </row>
    <row r="33" spans="1:10" x14ac:dyDescent="0.25">
      <c r="A33" t="s">
        <v>129</v>
      </c>
      <c r="B33" s="82">
        <v>0.5</v>
      </c>
      <c r="C33">
        <v>0.02</v>
      </c>
      <c r="E33" s="85" t="s">
        <v>244</v>
      </c>
      <c r="F33" s="86"/>
      <c r="G33" s="86"/>
      <c r="H33" s="86"/>
      <c r="I33" s="87"/>
      <c r="J33" s="57"/>
    </row>
    <row r="34" spans="1:10" x14ac:dyDescent="0.25">
      <c r="A34" t="s">
        <v>154</v>
      </c>
      <c r="B34" s="82">
        <v>0.5</v>
      </c>
      <c r="C34">
        <v>0.04</v>
      </c>
      <c r="E34" s="88"/>
      <c r="F34" s="84"/>
      <c r="G34" s="84"/>
      <c r="H34" s="84"/>
      <c r="I34" s="89"/>
    </row>
    <row r="35" spans="1:10" x14ac:dyDescent="0.25">
      <c r="A35" t="s">
        <v>155</v>
      </c>
      <c r="B35" s="82">
        <v>0.7</v>
      </c>
      <c r="C35">
        <v>0.04</v>
      </c>
      <c r="E35" s="88"/>
      <c r="F35" s="84"/>
      <c r="G35" s="84"/>
      <c r="H35" s="84"/>
      <c r="I35" s="89"/>
    </row>
    <row r="36" spans="1:10" x14ac:dyDescent="0.25">
      <c r="A36" t="s">
        <v>218</v>
      </c>
      <c r="B36" s="82">
        <v>0.8</v>
      </c>
      <c r="C36">
        <v>7.0000000000000007E-2</v>
      </c>
      <c r="E36" s="88"/>
      <c r="F36" s="84"/>
      <c r="G36" s="84"/>
      <c r="H36" s="84"/>
      <c r="I36" s="89"/>
    </row>
    <row r="37" spans="1:10" ht="15.75" thickBot="1" x14ac:dyDescent="0.3">
      <c r="A37" t="s">
        <v>157</v>
      </c>
      <c r="B37" s="82">
        <v>0.5</v>
      </c>
      <c r="C37">
        <v>0.04</v>
      </c>
      <c r="E37" s="90"/>
      <c r="F37" s="91"/>
      <c r="G37" s="91"/>
      <c r="H37" s="91"/>
      <c r="I37" s="92"/>
    </row>
    <row r="38" spans="1:10" x14ac:dyDescent="0.25">
      <c r="A38" t="s">
        <v>16</v>
      </c>
      <c r="B38" s="82">
        <v>0.9</v>
      </c>
      <c r="C38">
        <v>0.08</v>
      </c>
      <c r="G38" s="57"/>
    </row>
    <row r="39" spans="1:10" x14ac:dyDescent="0.25">
      <c r="A39" t="s">
        <v>138</v>
      </c>
      <c r="B39" s="82">
        <v>0.7</v>
      </c>
      <c r="C39">
        <v>0.06</v>
      </c>
    </row>
    <row r="40" spans="1:10" x14ac:dyDescent="0.25">
      <c r="A40" t="s">
        <v>18</v>
      </c>
      <c r="B40" s="82">
        <v>0.7</v>
      </c>
      <c r="C40">
        <v>0.06</v>
      </c>
    </row>
    <row r="41" spans="1:10" x14ac:dyDescent="0.25">
      <c r="A41" t="s">
        <v>19</v>
      </c>
      <c r="B41" s="82">
        <v>0.4</v>
      </c>
      <c r="C41" t="s">
        <v>235</v>
      </c>
    </row>
    <row r="42" spans="1:10" x14ac:dyDescent="0.25">
      <c r="A42" t="s">
        <v>20</v>
      </c>
      <c r="B42" s="83">
        <v>1</v>
      </c>
      <c r="C42">
        <v>0.08</v>
      </c>
    </row>
    <row r="43" spans="1:10" x14ac:dyDescent="0.25">
      <c r="A43" t="s">
        <v>21</v>
      </c>
      <c r="B43" s="83">
        <v>1</v>
      </c>
      <c r="C43">
        <v>0.09</v>
      </c>
    </row>
    <row r="46" spans="1:10" x14ac:dyDescent="0.25">
      <c r="A46" s="16" t="s">
        <v>236</v>
      </c>
      <c r="B46" s="16"/>
      <c r="C46" s="16"/>
    </row>
    <row r="61" spans="1:3" x14ac:dyDescent="0.25">
      <c r="A61" t="s">
        <v>237</v>
      </c>
      <c r="B61" t="s">
        <v>238</v>
      </c>
      <c r="C61" t="s">
        <v>239</v>
      </c>
    </row>
    <row r="62" spans="1:3" x14ac:dyDescent="0.25">
      <c r="A62" t="s">
        <v>240</v>
      </c>
      <c r="B62" s="82">
        <v>0.3</v>
      </c>
      <c r="C62" s="82">
        <v>0.3</v>
      </c>
    </row>
    <row r="63" spans="1:3" x14ac:dyDescent="0.25">
      <c r="A63" t="s">
        <v>21</v>
      </c>
      <c r="B63">
        <v>0.25</v>
      </c>
      <c r="C63">
        <v>0.32</v>
      </c>
    </row>
    <row r="64" spans="1:3" x14ac:dyDescent="0.25">
      <c r="A64" t="s">
        <v>18</v>
      </c>
      <c r="B64">
        <v>0.35</v>
      </c>
      <c r="C64">
        <v>0.35</v>
      </c>
    </row>
    <row r="65" spans="1:3" x14ac:dyDescent="0.25">
      <c r="A65" t="s">
        <v>241</v>
      </c>
      <c r="B65">
        <v>0.32</v>
      </c>
      <c r="C65" s="82">
        <v>0.3</v>
      </c>
    </row>
    <row r="66" spans="1:3" x14ac:dyDescent="0.25">
      <c r="A66" t="s">
        <v>243</v>
      </c>
      <c r="B66">
        <v>0.45</v>
      </c>
      <c r="C66">
        <v>0.4</v>
      </c>
    </row>
    <row r="67" spans="1:3" x14ac:dyDescent="0.25">
      <c r="A67" t="s">
        <v>242</v>
      </c>
      <c r="B67">
        <v>0.36</v>
      </c>
      <c r="C67">
        <v>0.46</v>
      </c>
    </row>
    <row r="68" spans="1:3" x14ac:dyDescent="0.25">
      <c r="A68" t="s">
        <v>129</v>
      </c>
      <c r="B68">
        <v>0.43</v>
      </c>
      <c r="C68" s="82">
        <v>0.4</v>
      </c>
    </row>
  </sheetData>
  <mergeCells count="5">
    <mergeCell ref="B16:D16"/>
    <mergeCell ref="A30:C30"/>
    <mergeCell ref="B31:C31"/>
    <mergeCell ref="A46:C46"/>
    <mergeCell ref="E33:I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88B2-1DF5-45F9-9633-090C6C5199F4}">
  <dimension ref="A1"/>
  <sheetViews>
    <sheetView workbookViewId="0">
      <selection activeCell="F32" sqref="F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2DA0-64DB-47C1-ACA0-9A863C9F896D}">
  <dimension ref="B1:C17"/>
  <sheetViews>
    <sheetView topLeftCell="B1" workbookViewId="0">
      <selection activeCell="G16" sqref="G16"/>
    </sheetView>
  </sheetViews>
  <sheetFormatPr defaultRowHeight="15" x14ac:dyDescent="0.25"/>
  <cols>
    <col min="2" max="2" width="11" bestFit="1" customWidth="1"/>
  </cols>
  <sheetData>
    <row r="1" spans="2:3" x14ac:dyDescent="0.25">
      <c r="B1" s="53" t="s">
        <v>251</v>
      </c>
      <c r="C1" s="53"/>
    </row>
    <row r="2" spans="2:3" x14ac:dyDescent="0.25">
      <c r="B2" s="53"/>
      <c r="C2" s="53"/>
    </row>
    <row r="3" spans="2:3" x14ac:dyDescent="0.25">
      <c r="B3" t="s">
        <v>107</v>
      </c>
      <c r="C3">
        <f>0.4666*(C4)^(-0.02)</f>
        <v>0.45725459725246398</v>
      </c>
    </row>
    <row r="4" spans="2:3" x14ac:dyDescent="0.25">
      <c r="B4" t="s">
        <v>109</v>
      </c>
      <c r="C4">
        <f>C5/0.4</f>
        <v>2.75</v>
      </c>
    </row>
    <row r="5" spans="2:3" x14ac:dyDescent="0.25">
      <c r="B5" t="s">
        <v>245</v>
      </c>
      <c r="C5">
        <v>1.1000000000000001</v>
      </c>
    </row>
    <row r="6" spans="2:3" x14ac:dyDescent="0.25">
      <c r="B6" t="s">
        <v>246</v>
      </c>
      <c r="C6">
        <f>195.27*((C4)^(-0.703))</f>
        <v>95.892500285413917</v>
      </c>
    </row>
    <row r="7" spans="2:3" x14ac:dyDescent="0.25">
      <c r="B7" s="16" t="s">
        <v>250</v>
      </c>
      <c r="C7" s="16"/>
    </row>
    <row r="8" spans="2:3" x14ac:dyDescent="0.25">
      <c r="B8" t="s">
        <v>247</v>
      </c>
      <c r="C8" t="e">
        <f>3313.8*(C9^(-0.4))</f>
        <v>#DIV/0!</v>
      </c>
    </row>
    <row r="9" spans="2:3" x14ac:dyDescent="0.25">
      <c r="B9" t="s">
        <v>248</v>
      </c>
    </row>
    <row r="10" spans="2:3" x14ac:dyDescent="0.25">
      <c r="B10" t="s">
        <v>249</v>
      </c>
      <c r="C10">
        <f>3.95*C9</f>
        <v>0</v>
      </c>
    </row>
    <row r="11" spans="2:3" x14ac:dyDescent="0.25">
      <c r="B11" s="16" t="s">
        <v>252</v>
      </c>
      <c r="C11" s="16"/>
    </row>
    <row r="12" spans="2:3" x14ac:dyDescent="0.25">
      <c r="B12" t="s">
        <v>253</v>
      </c>
      <c r="C12">
        <f>8*C13</f>
        <v>0</v>
      </c>
    </row>
    <row r="13" spans="2:3" x14ac:dyDescent="0.25">
      <c r="B13" t="s">
        <v>254</v>
      </c>
    </row>
    <row r="14" spans="2:3" x14ac:dyDescent="0.25">
      <c r="B14" t="s">
        <v>255</v>
      </c>
      <c r="C14" t="e">
        <f>C12*C15</f>
        <v>#DIV/0!</v>
      </c>
    </row>
    <row r="15" spans="2:3" x14ac:dyDescent="0.25">
      <c r="B15" t="s">
        <v>256</v>
      </c>
      <c r="C15" t="e">
        <f>66.77*(C12^(-0.538))</f>
        <v>#DIV/0!</v>
      </c>
    </row>
    <row r="17" spans="2:3" x14ac:dyDescent="0.25">
      <c r="B17" t="s">
        <v>257</v>
      </c>
      <c r="C17">
        <v>1.1000000000000001</v>
      </c>
    </row>
  </sheetData>
  <mergeCells count="3">
    <mergeCell ref="B1:C2"/>
    <mergeCell ref="B7:C7"/>
    <mergeCell ref="B11:C11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4A7C-28BE-438A-A78F-7E337934BCF9}">
  <dimension ref="B2:I39"/>
  <sheetViews>
    <sheetView tabSelected="1" workbookViewId="0">
      <selection activeCell="I33" sqref="I33"/>
    </sheetView>
  </sheetViews>
  <sheetFormatPr defaultRowHeight="15" x14ac:dyDescent="0.25"/>
  <cols>
    <col min="2" max="2" width="13.28515625" bestFit="1" customWidth="1"/>
  </cols>
  <sheetData>
    <row r="2" spans="2:7" x14ac:dyDescent="0.25">
      <c r="B2" t="s">
        <v>258</v>
      </c>
      <c r="C2" t="e">
        <f>(C3*C4)/C5</f>
        <v>#DIV/0!</v>
      </c>
      <c r="E2" s="93"/>
      <c r="F2" s="93"/>
      <c r="G2" s="93"/>
    </row>
    <row r="3" spans="2:7" x14ac:dyDescent="0.25">
      <c r="B3" t="s">
        <v>259</v>
      </c>
      <c r="C3">
        <v>9.81</v>
      </c>
      <c r="E3" s="93"/>
      <c r="F3" s="93"/>
      <c r="G3" s="93"/>
    </row>
    <row r="4" spans="2:7" x14ac:dyDescent="0.25">
      <c r="B4" t="s">
        <v>109</v>
      </c>
      <c r="C4">
        <f>'Heavy lift UAV initial sizing'!C4</f>
        <v>2.75</v>
      </c>
      <c r="E4" s="93"/>
      <c r="F4" s="93"/>
      <c r="G4" s="93"/>
    </row>
    <row r="5" spans="2:7" x14ac:dyDescent="0.25">
      <c r="B5" t="s">
        <v>260</v>
      </c>
      <c r="E5" s="93"/>
      <c r="F5" s="93"/>
      <c r="G5" s="93"/>
    </row>
    <row r="6" spans="2:7" x14ac:dyDescent="0.25">
      <c r="G6" s="57"/>
    </row>
    <row r="7" spans="2:7" x14ac:dyDescent="0.25">
      <c r="B7" t="s">
        <v>261</v>
      </c>
      <c r="C7" t="e">
        <f>((C2^3)/2*C8*C9)^0.5</f>
        <v>#DIV/0!</v>
      </c>
    </row>
    <row r="8" spans="2:7" x14ac:dyDescent="0.25">
      <c r="B8" s="69" t="s">
        <v>262</v>
      </c>
      <c r="C8">
        <v>1.2250000000000001</v>
      </c>
    </row>
    <row r="9" spans="2:7" x14ac:dyDescent="0.25">
      <c r="B9" s="69" t="s">
        <v>70</v>
      </c>
    </row>
    <row r="10" spans="2:7" x14ac:dyDescent="0.25">
      <c r="B10" s="69" t="s">
        <v>94</v>
      </c>
    </row>
    <row r="11" spans="2:7" x14ac:dyDescent="0.25">
      <c r="B11" s="69" t="s">
        <v>198</v>
      </c>
      <c r="C11">
        <f>'climb and glide'!B6</f>
        <v>3.1415926535900001</v>
      </c>
    </row>
    <row r="13" spans="2:7" x14ac:dyDescent="0.25">
      <c r="B13" t="s">
        <v>267</v>
      </c>
      <c r="C13">
        <f>(((2*C8*C9)^0.5)*C14)^(2/3)</f>
        <v>0</v>
      </c>
    </row>
    <row r="14" spans="2:7" x14ac:dyDescent="0.25">
      <c r="B14" t="s">
        <v>268</v>
      </c>
    </row>
    <row r="16" spans="2:7" x14ac:dyDescent="0.25">
      <c r="B16" t="s">
        <v>266</v>
      </c>
    </row>
    <row r="17" spans="2:9" x14ac:dyDescent="0.25">
      <c r="B17" t="s">
        <v>265</v>
      </c>
    </row>
    <row r="19" spans="2:9" x14ac:dyDescent="0.25">
      <c r="B19" t="s">
        <v>263</v>
      </c>
      <c r="C19" t="e">
        <f>C7/C16</f>
        <v>#DIV/0!</v>
      </c>
    </row>
    <row r="20" spans="2:9" x14ac:dyDescent="0.25">
      <c r="B20" t="s">
        <v>263</v>
      </c>
      <c r="C20" t="e">
        <f>(C17/C13)^(3/2)</f>
        <v>#DIV/0!</v>
      </c>
    </row>
    <row r="21" spans="2:9" x14ac:dyDescent="0.25">
      <c r="B21" t="s">
        <v>264</v>
      </c>
      <c r="C21">
        <v>0.7</v>
      </c>
    </row>
    <row r="24" spans="2:9" x14ac:dyDescent="0.25">
      <c r="B24" t="s">
        <v>269</v>
      </c>
      <c r="C24" t="e">
        <f>(C25*C21*(((C2)^3)/2*C8*C9)^0.5)</f>
        <v>#DIV/0!</v>
      </c>
    </row>
    <row r="25" spans="2:9" x14ac:dyDescent="0.25">
      <c r="B25" t="s">
        <v>270</v>
      </c>
      <c r="C25">
        <v>1.5</v>
      </c>
    </row>
    <row r="26" spans="2:9" x14ac:dyDescent="0.25">
      <c r="B26" t="s">
        <v>272</v>
      </c>
      <c r="C26" t="e">
        <f>C5*C24</f>
        <v>#DIV/0!</v>
      </c>
    </row>
    <row r="27" spans="2:9" x14ac:dyDescent="0.25">
      <c r="B27" t="s">
        <v>279</v>
      </c>
      <c r="C27" t="e">
        <f>C2*C5</f>
        <v>#DIV/0!</v>
      </c>
    </row>
    <row r="28" spans="2:9" x14ac:dyDescent="0.25">
      <c r="B28" s="16" t="s">
        <v>271</v>
      </c>
      <c r="C28" s="16"/>
      <c r="D28" s="16"/>
      <c r="E28" s="16"/>
      <c r="F28" s="16"/>
      <c r="G28" s="16"/>
      <c r="H28" s="16"/>
      <c r="I28" s="16"/>
    </row>
    <row r="29" spans="2:9" x14ac:dyDescent="0.25">
      <c r="B29" t="s">
        <v>273</v>
      </c>
      <c r="C29" t="e">
        <f>C26/C30</f>
        <v>#DIV/0!</v>
      </c>
    </row>
    <row r="30" spans="2:9" x14ac:dyDescent="0.25">
      <c r="B30" t="s">
        <v>274</v>
      </c>
    </row>
    <row r="34" spans="2:9" x14ac:dyDescent="0.25">
      <c r="B34" t="s">
        <v>275</v>
      </c>
      <c r="C34" t="e">
        <f>'Heavy lift UAV initial sizing'!C12/'motor selection'!C29</f>
        <v>#DIV/0!</v>
      </c>
    </row>
    <row r="37" spans="2:9" x14ac:dyDescent="0.25">
      <c r="B37" s="53" t="s">
        <v>276</v>
      </c>
      <c r="C37" s="53"/>
      <c r="D37" s="53"/>
      <c r="E37" s="53"/>
      <c r="F37" s="53"/>
      <c r="G37" s="53"/>
      <c r="H37" s="53"/>
      <c r="I37" s="53"/>
    </row>
    <row r="38" spans="2:9" x14ac:dyDescent="0.25">
      <c r="B38" t="s">
        <v>277</v>
      </c>
      <c r="C38" t="e">
        <f>C39*'Heavy lift UAV initial sizing'!C6</f>
        <v>#DIV/0!</v>
      </c>
    </row>
    <row r="39" spans="2:9" x14ac:dyDescent="0.25">
      <c r="B39" s="69" t="s">
        <v>278</v>
      </c>
      <c r="C39" t="e">
        <f>C2/(C34*(C25-1))</f>
        <v>#DIV/0!</v>
      </c>
    </row>
  </sheetData>
  <mergeCells count="3">
    <mergeCell ref="E2:G5"/>
    <mergeCell ref="B28:I28"/>
    <mergeCell ref="B37:I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3CE7-3A2F-4367-B631-3FFF2E6FF041}">
  <sheetPr>
    <tabColor rgb="FFFFC000"/>
  </sheetPr>
  <dimension ref="A1:E23"/>
  <sheetViews>
    <sheetView zoomScale="85" zoomScaleNormal="85" workbookViewId="0">
      <selection activeCell="G35" sqref="G35"/>
    </sheetView>
  </sheetViews>
  <sheetFormatPr defaultRowHeight="15" x14ac:dyDescent="0.25"/>
  <cols>
    <col min="1" max="1" width="29.42578125" bestFit="1" customWidth="1"/>
    <col min="2" max="2" width="11.5703125" bestFit="1" customWidth="1"/>
  </cols>
  <sheetData>
    <row r="1" spans="1:5" x14ac:dyDescent="0.25">
      <c r="B1" t="s">
        <v>29</v>
      </c>
      <c r="C1" t="s">
        <v>30</v>
      </c>
    </row>
    <row r="2" spans="1:5" x14ac:dyDescent="0.25">
      <c r="A2" t="s">
        <v>25</v>
      </c>
      <c r="B2" t="e">
        <f>C4*(B20^D4)*B22</f>
        <v>#DIV/0!</v>
      </c>
      <c r="C2" t="e">
        <f>B4*(B20^D4)*B22</f>
        <v>#DIV/0!</v>
      </c>
    </row>
    <row r="3" spans="1:5" x14ac:dyDescent="0.25">
      <c r="B3" t="s">
        <v>31</v>
      </c>
      <c r="C3" t="s">
        <v>7</v>
      </c>
      <c r="D3" t="s">
        <v>8</v>
      </c>
      <c r="E3" t="s">
        <v>5</v>
      </c>
    </row>
    <row r="4" spans="1:5" x14ac:dyDescent="0.25">
      <c r="A4" t="s">
        <v>9</v>
      </c>
      <c r="B4">
        <v>0.86</v>
      </c>
      <c r="C4">
        <v>0.83</v>
      </c>
      <c r="D4">
        <v>-0.05</v>
      </c>
    </row>
    <row r="5" spans="1:5" x14ac:dyDescent="0.25">
      <c r="A5" t="s">
        <v>10</v>
      </c>
      <c r="B5">
        <v>0.91</v>
      </c>
      <c r="C5">
        <v>0.88</v>
      </c>
      <c r="D5">
        <v>-0.05</v>
      </c>
    </row>
    <row r="6" spans="1:5" x14ac:dyDescent="0.25">
      <c r="A6" t="s">
        <v>11</v>
      </c>
      <c r="B6">
        <v>1.19</v>
      </c>
      <c r="C6">
        <v>1.1100000000000001</v>
      </c>
      <c r="D6">
        <v>-0.09</v>
      </c>
    </row>
    <row r="7" spans="1:5" x14ac:dyDescent="0.25">
      <c r="A7" t="s">
        <v>12</v>
      </c>
      <c r="B7">
        <v>1.1499999999999999</v>
      </c>
      <c r="C7">
        <v>1.07</v>
      </c>
      <c r="D7">
        <v>-0.09</v>
      </c>
    </row>
    <row r="8" spans="1:5" x14ac:dyDescent="0.25">
      <c r="A8" t="s">
        <v>13</v>
      </c>
      <c r="B8">
        <v>2.36</v>
      </c>
      <c r="C8">
        <v>2.0499999999999998</v>
      </c>
      <c r="D8">
        <v>-0.18</v>
      </c>
    </row>
    <row r="9" spans="1:5" x14ac:dyDescent="0.25">
      <c r="A9" t="s">
        <v>14</v>
      </c>
      <c r="B9">
        <v>1.51</v>
      </c>
      <c r="C9">
        <v>1.4</v>
      </c>
      <c r="D9">
        <v>-0.1</v>
      </c>
    </row>
    <row r="10" spans="1:5" x14ac:dyDescent="0.25">
      <c r="A10" t="s">
        <v>15</v>
      </c>
      <c r="B10">
        <v>0.74</v>
      </c>
      <c r="C10">
        <v>0.72</v>
      </c>
      <c r="D10">
        <v>-0.03</v>
      </c>
    </row>
    <row r="11" spans="1:5" x14ac:dyDescent="0.25">
      <c r="A11" t="s">
        <v>16</v>
      </c>
      <c r="B11">
        <v>0.96</v>
      </c>
      <c r="C11">
        <v>0.92</v>
      </c>
      <c r="D11">
        <v>-0.05</v>
      </c>
    </row>
    <row r="12" spans="1:5" x14ac:dyDescent="0.25">
      <c r="A12" t="s">
        <v>17</v>
      </c>
      <c r="B12">
        <v>1.0900000000000001</v>
      </c>
      <c r="C12">
        <v>1.05</v>
      </c>
      <c r="D12">
        <v>-0.05</v>
      </c>
    </row>
    <row r="13" spans="1:5" x14ac:dyDescent="0.25">
      <c r="A13" t="s">
        <v>18</v>
      </c>
      <c r="B13">
        <v>1.59</v>
      </c>
      <c r="C13">
        <v>1.47</v>
      </c>
      <c r="D13">
        <v>-0.1</v>
      </c>
    </row>
    <row r="14" spans="1:5" x14ac:dyDescent="0.25">
      <c r="A14" t="s">
        <v>19</v>
      </c>
      <c r="B14">
        <v>2.34</v>
      </c>
      <c r="C14">
        <v>2.11</v>
      </c>
      <c r="D14">
        <v>-0.13</v>
      </c>
    </row>
    <row r="15" spans="1:5" x14ac:dyDescent="0.25">
      <c r="A15" t="s">
        <v>20</v>
      </c>
      <c r="B15">
        <v>0.93</v>
      </c>
      <c r="C15">
        <v>0.88</v>
      </c>
      <c r="D15">
        <v>-7.0000000000000007E-2</v>
      </c>
    </row>
    <row r="16" spans="1:5" x14ac:dyDescent="0.25">
      <c r="A16" t="s">
        <v>21</v>
      </c>
      <c r="B16">
        <v>1.02</v>
      </c>
      <c r="C16">
        <v>0.97</v>
      </c>
      <c r="D16">
        <v>-0.06</v>
      </c>
    </row>
    <row r="17" spans="1:4" x14ac:dyDescent="0.25">
      <c r="A17" t="s">
        <v>22</v>
      </c>
      <c r="B17">
        <v>1.67</v>
      </c>
      <c r="C17">
        <v>1.47</v>
      </c>
      <c r="D17">
        <v>-0.16</v>
      </c>
    </row>
    <row r="18" spans="1:4" x14ac:dyDescent="0.25">
      <c r="A18" t="s">
        <v>23</v>
      </c>
      <c r="B18">
        <v>2.75</v>
      </c>
      <c r="C18">
        <v>2.39</v>
      </c>
      <c r="D18">
        <v>-0.18</v>
      </c>
    </row>
    <row r="19" spans="1:4" x14ac:dyDescent="0.25">
      <c r="A19" t="s">
        <v>24</v>
      </c>
      <c r="B19">
        <v>0.97</v>
      </c>
      <c r="C19">
        <v>0.93</v>
      </c>
      <c r="D19">
        <v>-0.06</v>
      </c>
    </row>
    <row r="20" spans="1:4" x14ac:dyDescent="0.25">
      <c r="A20" t="s">
        <v>0</v>
      </c>
      <c r="B20">
        <f>Sheet1!D3</f>
        <v>0</v>
      </c>
    </row>
    <row r="21" spans="1:4" x14ac:dyDescent="0.25">
      <c r="A21" t="s">
        <v>26</v>
      </c>
    </row>
    <row r="22" spans="1:4" x14ac:dyDescent="0.25">
      <c r="A22" t="s">
        <v>27</v>
      </c>
      <c r="B22">
        <v>1.04</v>
      </c>
    </row>
    <row r="23" spans="1:4" x14ac:dyDescent="0.25">
      <c r="A23" t="s">
        <v>28</v>
      </c>
      <c r="B23">
        <v>1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DD6B-8BDC-4073-994C-B61CD0EA49CC}">
  <sheetPr>
    <tabColor rgb="FFFFC000"/>
  </sheetPr>
  <dimension ref="A2:K39"/>
  <sheetViews>
    <sheetView topLeftCell="B1" zoomScale="115" zoomScaleNormal="115" workbookViewId="0">
      <selection activeCell="G35" sqref="G35"/>
    </sheetView>
  </sheetViews>
  <sheetFormatPr defaultRowHeight="15" x14ac:dyDescent="0.25"/>
  <cols>
    <col min="2" max="2" width="26.42578125" bestFit="1" customWidth="1"/>
    <col min="5" max="5" width="19.42578125" bestFit="1" customWidth="1"/>
    <col min="6" max="6" width="13.42578125" bestFit="1" customWidth="1"/>
    <col min="7" max="7" width="11.42578125" bestFit="1" customWidth="1"/>
    <col min="8" max="8" width="12.85546875" bestFit="1" customWidth="1"/>
    <col min="9" max="9" width="11.28515625" bestFit="1" customWidth="1"/>
    <col min="10" max="10" width="21.140625" bestFit="1" customWidth="1"/>
  </cols>
  <sheetData>
    <row r="2" spans="2:3" x14ac:dyDescent="0.25">
      <c r="B2" t="s">
        <v>32</v>
      </c>
      <c r="C2" t="s">
        <v>36</v>
      </c>
    </row>
    <row r="3" spans="2:3" x14ac:dyDescent="0.25">
      <c r="B3" t="s">
        <v>33</v>
      </c>
      <c r="C3">
        <v>0.97</v>
      </c>
    </row>
    <row r="4" spans="2:3" x14ac:dyDescent="0.25">
      <c r="B4" t="s">
        <v>35</v>
      </c>
      <c r="C4">
        <v>0.98499999999999999</v>
      </c>
    </row>
    <row r="5" spans="2:3" x14ac:dyDescent="0.25">
      <c r="B5" t="s">
        <v>34</v>
      </c>
      <c r="C5">
        <v>0.995</v>
      </c>
    </row>
    <row r="6" spans="2:3" x14ac:dyDescent="0.25">
      <c r="B6" t="s">
        <v>37</v>
      </c>
    </row>
    <row r="8" spans="2:3" x14ac:dyDescent="0.25">
      <c r="B8" t="s">
        <v>38</v>
      </c>
    </row>
    <row r="9" spans="2:3" x14ac:dyDescent="0.25">
      <c r="B9" t="s">
        <v>39</v>
      </c>
    </row>
    <row r="10" spans="2:3" x14ac:dyDescent="0.25">
      <c r="B10" t="s">
        <v>40</v>
      </c>
    </row>
    <row r="11" spans="2:3" x14ac:dyDescent="0.25">
      <c r="B11" t="s">
        <v>41</v>
      </c>
    </row>
    <row r="14" spans="2:3" x14ac:dyDescent="0.25">
      <c r="B14" t="s">
        <v>42</v>
      </c>
    </row>
    <row r="15" spans="2:3" x14ac:dyDescent="0.25">
      <c r="B15" t="s">
        <v>43</v>
      </c>
    </row>
    <row r="16" spans="2:3" x14ac:dyDescent="0.25">
      <c r="B16" t="s">
        <v>44</v>
      </c>
    </row>
    <row r="17" spans="2:11" x14ac:dyDescent="0.25">
      <c r="F17" t="s">
        <v>53</v>
      </c>
    </row>
    <row r="18" spans="2:11" x14ac:dyDescent="0.25">
      <c r="B18" t="s">
        <v>68</v>
      </c>
      <c r="C18" t="e">
        <f>C20/C21</f>
        <v>#DIV/0!</v>
      </c>
      <c r="E18" t="s">
        <v>45</v>
      </c>
      <c r="F18" t="s">
        <v>49</v>
      </c>
      <c r="G18" t="s">
        <v>50</v>
      </c>
      <c r="H18" t="s">
        <v>51</v>
      </c>
      <c r="I18" t="s">
        <v>52</v>
      </c>
    </row>
    <row r="19" spans="2:11" x14ac:dyDescent="0.25">
      <c r="B19" t="s">
        <v>68</v>
      </c>
      <c r="C19" t="e">
        <f>C22/(C23/C24)</f>
        <v>#DIV/0!</v>
      </c>
      <c r="E19" t="s">
        <v>46</v>
      </c>
      <c r="F19">
        <v>0.9</v>
      </c>
      <c r="G19">
        <v>25.5</v>
      </c>
      <c r="H19">
        <v>0.8</v>
      </c>
      <c r="I19">
        <v>22.7</v>
      </c>
    </row>
    <row r="20" spans="2:11" x14ac:dyDescent="0.25">
      <c r="B20" t="s">
        <v>69</v>
      </c>
      <c r="E20" t="s">
        <v>47</v>
      </c>
      <c r="F20">
        <v>0.8</v>
      </c>
      <c r="G20">
        <v>22.7</v>
      </c>
      <c r="H20">
        <v>0.7</v>
      </c>
      <c r="I20">
        <v>19.8</v>
      </c>
    </row>
    <row r="21" spans="2:11" x14ac:dyDescent="0.25">
      <c r="B21" t="s">
        <v>61</v>
      </c>
      <c r="E21" t="s">
        <v>48</v>
      </c>
      <c r="F21">
        <v>0.5</v>
      </c>
      <c r="G21">
        <v>14.1</v>
      </c>
      <c r="H21">
        <v>0.4</v>
      </c>
      <c r="I21">
        <v>11.3</v>
      </c>
    </row>
    <row r="22" spans="2:11" x14ac:dyDescent="0.25">
      <c r="B22" t="s">
        <v>70</v>
      </c>
    </row>
    <row r="23" spans="2:11" x14ac:dyDescent="0.25">
      <c r="B23" t="s">
        <v>71</v>
      </c>
      <c r="E23" t="s">
        <v>54</v>
      </c>
    </row>
    <row r="24" spans="2:11" x14ac:dyDescent="0.25">
      <c r="B24" t="s">
        <v>72</v>
      </c>
      <c r="E24" t="s">
        <v>55</v>
      </c>
      <c r="F24">
        <v>0.4</v>
      </c>
      <c r="G24">
        <v>6.8000000000000005E-2</v>
      </c>
      <c r="H24">
        <v>0.5</v>
      </c>
      <c r="I24">
        <v>8.5000000000000006E-2</v>
      </c>
    </row>
    <row r="25" spans="2:11" x14ac:dyDescent="0.25">
      <c r="E25" t="s">
        <v>56</v>
      </c>
      <c r="F25">
        <v>0.4</v>
      </c>
      <c r="G25">
        <v>6.8000000000000005E-2</v>
      </c>
      <c r="H25">
        <v>0.5</v>
      </c>
      <c r="I25">
        <v>8.5000000000000006E-2</v>
      </c>
    </row>
    <row r="26" spans="2:11" x14ac:dyDescent="0.25">
      <c r="B26" t="s">
        <v>65</v>
      </c>
      <c r="C26">
        <f>C28*(C29^0.5)</f>
        <v>0</v>
      </c>
      <c r="E26" t="s">
        <v>57</v>
      </c>
      <c r="F26">
        <v>0.5</v>
      </c>
      <c r="G26">
        <v>8.5000000000000006E-2</v>
      </c>
      <c r="H26">
        <v>0.6</v>
      </c>
      <c r="I26">
        <v>0.10100000000000001</v>
      </c>
    </row>
    <row r="27" spans="2:11" x14ac:dyDescent="0.25">
      <c r="B27" t="s">
        <v>65</v>
      </c>
      <c r="C27" t="e">
        <f>C28*((C22/(C23/C24)))^0.5</f>
        <v>#DIV/0!</v>
      </c>
    </row>
    <row r="28" spans="2:11" x14ac:dyDescent="0.25">
      <c r="B28" t="s">
        <v>73</v>
      </c>
      <c r="F28" t="s">
        <v>60</v>
      </c>
      <c r="G28" t="s">
        <v>59</v>
      </c>
      <c r="K28" t="s">
        <v>73</v>
      </c>
    </row>
    <row r="29" spans="2:11" x14ac:dyDescent="0.25">
      <c r="B29" t="s">
        <v>68</v>
      </c>
      <c r="E29" t="s">
        <v>58</v>
      </c>
      <c r="F29">
        <v>393</v>
      </c>
      <c r="G29">
        <v>1000</v>
      </c>
      <c r="J29" t="s">
        <v>74</v>
      </c>
      <c r="K29">
        <v>15.5</v>
      </c>
    </row>
    <row r="30" spans="2:11" x14ac:dyDescent="0.25">
      <c r="E30" t="s">
        <v>61</v>
      </c>
      <c r="F30">
        <v>2441</v>
      </c>
      <c r="G30">
        <v>2156</v>
      </c>
      <c r="J30" t="s">
        <v>75</v>
      </c>
      <c r="K30">
        <v>14</v>
      </c>
    </row>
    <row r="31" spans="2:11" x14ac:dyDescent="0.25">
      <c r="E31" t="s">
        <v>62</v>
      </c>
      <c r="F31">
        <v>55</v>
      </c>
      <c r="G31">
        <v>55</v>
      </c>
      <c r="J31" t="s">
        <v>76</v>
      </c>
      <c r="K31">
        <v>11</v>
      </c>
    </row>
    <row r="32" spans="2:11" x14ac:dyDescent="0.25">
      <c r="B32" t="s">
        <v>84</v>
      </c>
      <c r="E32" t="s">
        <v>63</v>
      </c>
      <c r="F32">
        <v>6.2</v>
      </c>
      <c r="G32">
        <v>2.2000000000000002</v>
      </c>
      <c r="J32" t="s">
        <v>77</v>
      </c>
      <c r="K32">
        <v>9</v>
      </c>
    </row>
    <row r="33" spans="1:11" x14ac:dyDescent="0.25">
      <c r="B33" t="s">
        <v>80</v>
      </c>
      <c r="C33" t="s">
        <v>81</v>
      </c>
      <c r="E33" t="s">
        <v>64</v>
      </c>
      <c r="F33">
        <v>7.7</v>
      </c>
      <c r="G33">
        <v>3</v>
      </c>
      <c r="J33" t="s">
        <v>78</v>
      </c>
      <c r="K33">
        <v>13</v>
      </c>
    </row>
    <row r="34" spans="1:11" x14ac:dyDescent="0.25">
      <c r="A34" t="s">
        <v>82</v>
      </c>
      <c r="B34">
        <f>0.866*C26</f>
        <v>0</v>
      </c>
      <c r="C34">
        <f>C26</f>
        <v>0</v>
      </c>
      <c r="E34" t="s">
        <v>67</v>
      </c>
      <c r="F34">
        <v>1.2</v>
      </c>
      <c r="G34">
        <v>1.4</v>
      </c>
      <c r="J34" t="s">
        <v>79</v>
      </c>
      <c r="K34">
        <v>15</v>
      </c>
    </row>
    <row r="35" spans="1:11" x14ac:dyDescent="0.25">
      <c r="A35" t="s">
        <v>83</v>
      </c>
      <c r="B35">
        <f>C26</f>
        <v>0</v>
      </c>
      <c r="C35">
        <f>0.866*C26</f>
        <v>0</v>
      </c>
      <c r="E35" t="s">
        <v>65</v>
      </c>
      <c r="F35">
        <v>15</v>
      </c>
      <c r="G35">
        <v>16</v>
      </c>
    </row>
    <row r="36" spans="1:11" x14ac:dyDescent="0.25">
      <c r="E36" t="s">
        <v>66</v>
      </c>
      <c r="F36">
        <v>2100</v>
      </c>
      <c r="G36">
        <v>2100</v>
      </c>
    </row>
    <row r="37" spans="1:11" x14ac:dyDescent="0.25">
      <c r="A37" t="s">
        <v>85</v>
      </c>
      <c r="B37" t="e">
        <f>1.06*(1-(B38/B39))</f>
        <v>#DIV/0!</v>
      </c>
    </row>
    <row r="38" spans="1:11" x14ac:dyDescent="0.25">
      <c r="A38" t="s">
        <v>86</v>
      </c>
    </row>
    <row r="39" spans="1:11" x14ac:dyDescent="0.25">
      <c r="A39" t="s">
        <v>87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4C65-34DA-4B5F-A2AF-F9A9C32275C9}">
  <sheetPr>
    <tabColor rgb="FFFFC000"/>
  </sheetPr>
  <dimension ref="A1:I44"/>
  <sheetViews>
    <sheetView topLeftCell="A16" workbookViewId="0">
      <selection activeCell="G35" sqref="G35"/>
    </sheetView>
  </sheetViews>
  <sheetFormatPr defaultRowHeight="15" x14ac:dyDescent="0.25"/>
  <cols>
    <col min="1" max="1" width="18.42578125" bestFit="1" customWidth="1"/>
  </cols>
  <sheetData>
    <row r="1" spans="1:4" x14ac:dyDescent="0.25">
      <c r="A1" s="16" t="s">
        <v>88</v>
      </c>
      <c r="B1" s="16"/>
      <c r="C1" s="16"/>
      <c r="D1" s="16"/>
    </row>
    <row r="2" spans="1:4" x14ac:dyDescent="0.25">
      <c r="A2" t="s">
        <v>89</v>
      </c>
      <c r="B2" t="s">
        <v>90</v>
      </c>
    </row>
    <row r="3" spans="1:4" x14ac:dyDescent="0.25">
      <c r="A3" t="s">
        <v>91</v>
      </c>
      <c r="B3" t="s">
        <v>92</v>
      </c>
    </row>
    <row r="4" spans="1:4" x14ac:dyDescent="0.25">
      <c r="A4" s="17" t="s">
        <v>93</v>
      </c>
      <c r="B4" t="s">
        <v>94</v>
      </c>
    </row>
    <row r="5" spans="1:4" x14ac:dyDescent="0.25">
      <c r="A5" s="17"/>
      <c r="B5" t="s">
        <v>8</v>
      </c>
    </row>
    <row r="6" spans="1:4" x14ac:dyDescent="0.25">
      <c r="A6" s="17"/>
      <c r="B6" t="s">
        <v>44</v>
      </c>
    </row>
    <row r="7" spans="1:4" x14ac:dyDescent="0.25">
      <c r="A7" s="17"/>
      <c r="B7" t="s">
        <v>95</v>
      </c>
    </row>
    <row r="8" spans="1:4" x14ac:dyDescent="0.25">
      <c r="A8" s="17"/>
      <c r="B8" t="s">
        <v>96</v>
      </c>
    </row>
    <row r="9" spans="1:4" x14ac:dyDescent="0.25">
      <c r="A9" s="17" t="s">
        <v>97</v>
      </c>
      <c r="B9" t="s">
        <v>98</v>
      </c>
    </row>
    <row r="10" spans="1:4" x14ac:dyDescent="0.25">
      <c r="A10" s="17"/>
      <c r="B10" t="s">
        <v>8</v>
      </c>
    </row>
    <row r="11" spans="1:4" x14ac:dyDescent="0.25">
      <c r="A11" s="17"/>
      <c r="B11" t="s">
        <v>95</v>
      </c>
    </row>
    <row r="12" spans="1:4" x14ac:dyDescent="0.25">
      <c r="A12" s="17"/>
      <c r="B12" t="s">
        <v>99</v>
      </c>
      <c r="C12" t="e">
        <f>EXP(-(C9*C10)/(C11))</f>
        <v>#DIV/0!</v>
      </c>
    </row>
    <row r="13" spans="1:4" x14ac:dyDescent="0.25">
      <c r="A13" s="18" t="s">
        <v>100</v>
      </c>
      <c r="B13" t="s">
        <v>94</v>
      </c>
    </row>
    <row r="14" spans="1:4" x14ac:dyDescent="0.25">
      <c r="A14" s="18"/>
      <c r="B14" t="s">
        <v>8</v>
      </c>
    </row>
    <row r="15" spans="1:4" x14ac:dyDescent="0.25">
      <c r="A15" s="18"/>
      <c r="B15" t="s">
        <v>44</v>
      </c>
    </row>
    <row r="16" spans="1:4" x14ac:dyDescent="0.25">
      <c r="A16" s="18"/>
      <c r="B16" t="s">
        <v>95</v>
      </c>
    </row>
    <row r="17" spans="1:9" ht="37.5" customHeight="1" x14ac:dyDescent="0.25">
      <c r="A17" s="18"/>
      <c r="B17" t="s">
        <v>101</v>
      </c>
    </row>
    <row r="18" spans="1:9" x14ac:dyDescent="0.25">
      <c r="A18" s="17" t="s">
        <v>81</v>
      </c>
      <c r="B18" t="s">
        <v>98</v>
      </c>
      <c r="G18" s="16" t="s">
        <v>115</v>
      </c>
      <c r="H18" s="16"/>
      <c r="I18" s="16"/>
    </row>
    <row r="19" spans="1:9" x14ac:dyDescent="0.25">
      <c r="A19" s="17"/>
      <c r="B19" t="s">
        <v>8</v>
      </c>
      <c r="G19" s="16">
        <v>2.2050000000000001</v>
      </c>
      <c r="H19" s="16"/>
      <c r="I19" s="16"/>
    </row>
    <row r="20" spans="1:9" x14ac:dyDescent="0.25">
      <c r="A20" s="17"/>
      <c r="B20" t="s">
        <v>95</v>
      </c>
      <c r="G20" s="16" t="s">
        <v>116</v>
      </c>
      <c r="H20" s="16"/>
      <c r="I20" s="16"/>
    </row>
    <row r="21" spans="1:9" x14ac:dyDescent="0.25">
      <c r="A21" s="17"/>
      <c r="B21" t="s">
        <v>102</v>
      </c>
      <c r="C21" t="e">
        <f>EXP(-(C18*C19)/(C20))</f>
        <v>#DIV/0!</v>
      </c>
      <c r="G21" s="16"/>
      <c r="H21" s="16"/>
      <c r="I21" s="16"/>
    </row>
    <row r="22" spans="1:9" x14ac:dyDescent="0.25">
      <c r="A22" t="s">
        <v>103</v>
      </c>
      <c r="B22" t="s">
        <v>104</v>
      </c>
    </row>
    <row r="23" spans="1:9" x14ac:dyDescent="0.25">
      <c r="B23" t="s">
        <v>105</v>
      </c>
      <c r="C23" t="e">
        <f>C2*C3*C8*C12*C17*C21*C22</f>
        <v>#DIV/0!</v>
      </c>
    </row>
    <row r="24" spans="1:9" x14ac:dyDescent="0.25">
      <c r="B24" t="s">
        <v>106</v>
      </c>
      <c r="C24" t="e">
        <f>1.06*(1-C23)</f>
        <v>#DIV/0!</v>
      </c>
    </row>
    <row r="25" spans="1:9" x14ac:dyDescent="0.25">
      <c r="B25" t="s">
        <v>107</v>
      </c>
      <c r="C25" t="e">
        <f>B26*#REF!^(-0.07)</f>
        <v>#REF!</v>
      </c>
    </row>
    <row r="26" spans="1:9" x14ac:dyDescent="0.25">
      <c r="A26" t="s">
        <v>108</v>
      </c>
    </row>
    <row r="29" spans="1:9" x14ac:dyDescent="0.25">
      <c r="A29" s="16" t="s">
        <v>114</v>
      </c>
      <c r="B29" s="16"/>
      <c r="C29" s="16"/>
      <c r="D29" s="16"/>
    </row>
    <row r="30" spans="1:9" x14ac:dyDescent="0.25">
      <c r="A30" t="s">
        <v>111</v>
      </c>
      <c r="B30" t="s">
        <v>110</v>
      </c>
      <c r="C30" t="s">
        <v>112</v>
      </c>
      <c r="D30" t="s">
        <v>113</v>
      </c>
    </row>
    <row r="31" spans="1:9" x14ac:dyDescent="0.25">
      <c r="A31">
        <v>2000</v>
      </c>
      <c r="B31">
        <f>A31*$G$19</f>
        <v>4410</v>
      </c>
      <c r="C31" t="e">
        <f>((H21)/(1-$C$24-(2.242*(B31^(-0.18)))))</f>
        <v>#DIV/0!</v>
      </c>
      <c r="D31" t="e">
        <f>0.95*2.36*((C31)^(-0.18))</f>
        <v>#DIV/0!</v>
      </c>
    </row>
    <row r="32" spans="1:9" x14ac:dyDescent="0.25">
      <c r="A32">
        <v>1500</v>
      </c>
      <c r="B32">
        <f>A32*$G$19</f>
        <v>3307.5</v>
      </c>
      <c r="C32" t="e">
        <f>(G21)/(1-$C$24-(2.242*(B32^(-0.18))))</f>
        <v>#DIV/0!</v>
      </c>
      <c r="D32" t="e">
        <f t="shared" ref="D32:D37" si="0">0.95*2.36*((C32)^(-0.18))</f>
        <v>#DIV/0!</v>
      </c>
    </row>
    <row r="33" spans="1:4" x14ac:dyDescent="0.25">
      <c r="A33">
        <v>1400</v>
      </c>
      <c r="B33">
        <f>A33*$G$19</f>
        <v>3087</v>
      </c>
      <c r="C33" t="e">
        <f>((G21)/(1-$C$24-(2.242*(B33^(-0.18)))))</f>
        <v>#DIV/0!</v>
      </c>
      <c r="D33" t="e">
        <f t="shared" si="0"/>
        <v>#DIV/0!</v>
      </c>
    </row>
    <row r="34" spans="1:4" x14ac:dyDescent="0.25">
      <c r="A34">
        <v>1350</v>
      </c>
      <c r="B34">
        <f>A34*$G$19</f>
        <v>2976.75</v>
      </c>
      <c r="C34" t="e">
        <f>((G21)/(1-$C$24-(2.242*(B34^(-0.18)))))</f>
        <v>#DIV/0!</v>
      </c>
      <c r="D34" t="e">
        <f t="shared" si="0"/>
        <v>#DIV/0!</v>
      </c>
    </row>
    <row r="35" spans="1:4" x14ac:dyDescent="0.25">
      <c r="A35">
        <v>1375</v>
      </c>
      <c r="B35">
        <f>A35*$G$19</f>
        <v>3031.875</v>
      </c>
      <c r="C35" t="e">
        <f>((G21)/(1-$C$24-(2.242*(B35^(-0.18)))))</f>
        <v>#DIV/0!</v>
      </c>
      <c r="D35" t="e">
        <f t="shared" si="0"/>
        <v>#DIV/0!</v>
      </c>
    </row>
    <row r="36" spans="1:4" x14ac:dyDescent="0.25">
      <c r="A36">
        <v>1377</v>
      </c>
      <c r="B36">
        <f>A36*$G$19</f>
        <v>3036.2850000000003</v>
      </c>
      <c r="C36" t="e">
        <f>((G21)/(1-$C$24-(2.242*(B36^(-0.18)))))</f>
        <v>#DIV/0!</v>
      </c>
      <c r="D36" t="e">
        <f t="shared" si="0"/>
        <v>#DIV/0!</v>
      </c>
    </row>
    <row r="37" spans="1:4" x14ac:dyDescent="0.25">
      <c r="A37">
        <v>1378</v>
      </c>
      <c r="B37">
        <f>A37*$G$19</f>
        <v>3038.4900000000002</v>
      </c>
      <c r="C37" t="e">
        <f>((G21)/(1-$C$24-(2.242*(B37^(-0.18)))))</f>
        <v>#DIV/0!</v>
      </c>
      <c r="D37" t="e">
        <f t="shared" si="0"/>
        <v>#DIV/0!</v>
      </c>
    </row>
    <row r="44" spans="1:4" x14ac:dyDescent="0.25">
      <c r="A44" t="s">
        <v>225</v>
      </c>
    </row>
  </sheetData>
  <mergeCells count="10">
    <mergeCell ref="A1:D1"/>
    <mergeCell ref="A4:A8"/>
    <mergeCell ref="A9:A12"/>
    <mergeCell ref="A13:A17"/>
    <mergeCell ref="A18:A21"/>
    <mergeCell ref="G20:I20"/>
    <mergeCell ref="G21:I21"/>
    <mergeCell ref="A29:D29"/>
    <mergeCell ref="G18:I18"/>
    <mergeCell ref="G19:I1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54DC-19F3-4261-9F51-27B82729B761}">
  <sheetPr>
    <tabColor rgb="FFFFC000"/>
  </sheetPr>
  <dimension ref="A2:F84"/>
  <sheetViews>
    <sheetView topLeftCell="A19" zoomScale="115" zoomScaleNormal="115" workbookViewId="0">
      <selection activeCell="G35" sqref="G35"/>
    </sheetView>
  </sheetViews>
  <sheetFormatPr defaultRowHeight="15" x14ac:dyDescent="0.25"/>
  <cols>
    <col min="2" max="2" width="14.7109375" bestFit="1" customWidth="1"/>
  </cols>
  <sheetData>
    <row r="2" spans="2:3" x14ac:dyDescent="0.25">
      <c r="B2" t="s">
        <v>120</v>
      </c>
    </row>
    <row r="3" spans="2:3" x14ac:dyDescent="0.25">
      <c r="B3" t="s">
        <v>123</v>
      </c>
      <c r="C3" t="e">
        <f>C4/(C5*C6)</f>
        <v>#DIV/0!</v>
      </c>
    </row>
    <row r="4" spans="2:3" x14ac:dyDescent="0.25">
      <c r="B4" t="s">
        <v>117</v>
      </c>
    </row>
    <row r="5" spans="2:3" x14ac:dyDescent="0.25">
      <c r="B5" t="s">
        <v>118</v>
      </c>
    </row>
    <row r="6" spans="2:3" x14ac:dyDescent="0.25">
      <c r="B6" t="s">
        <v>119</v>
      </c>
    </row>
    <row r="7" spans="2:3" x14ac:dyDescent="0.25">
      <c r="B7" t="s">
        <v>125</v>
      </c>
    </row>
    <row r="9" spans="2:3" x14ac:dyDescent="0.25">
      <c r="B9" t="s">
        <v>121</v>
      </c>
    </row>
    <row r="10" spans="2:3" x14ac:dyDescent="0.25">
      <c r="B10" t="s">
        <v>122</v>
      </c>
      <c r="C10" t="e">
        <f>C11/(C5*C6)</f>
        <v>#DIV/0!</v>
      </c>
    </row>
    <row r="11" spans="2:3" x14ac:dyDescent="0.25">
      <c r="B11" t="s">
        <v>124</v>
      </c>
    </row>
    <row r="13" spans="2:3" x14ac:dyDescent="0.25">
      <c r="B13" t="s">
        <v>126</v>
      </c>
    </row>
    <row r="14" spans="2:3" x14ac:dyDescent="0.25">
      <c r="B14" t="s">
        <v>127</v>
      </c>
      <c r="C14" t="e">
        <f>C15/(C5*C6^2)</f>
        <v>#DIV/0!</v>
      </c>
    </row>
    <row r="15" spans="2:3" x14ac:dyDescent="0.25">
      <c r="B15" t="s">
        <v>128</v>
      </c>
    </row>
    <row r="17" spans="1:5" x14ac:dyDescent="0.25">
      <c r="B17" t="s">
        <v>95</v>
      </c>
    </row>
    <row r="20" spans="1:5" ht="15.75" thickBot="1" x14ac:dyDescent="0.3"/>
    <row r="21" spans="1:5" ht="15.75" thickBot="1" x14ac:dyDescent="0.3">
      <c r="C21" s="47" t="s">
        <v>130</v>
      </c>
      <c r="D21" s="43"/>
      <c r="E21" s="44"/>
    </row>
    <row r="22" spans="1:5" x14ac:dyDescent="0.25">
      <c r="A22" s="47" t="s">
        <v>129</v>
      </c>
      <c r="B22" s="77"/>
      <c r="C22" s="19">
        <f>0.19*(C17)^0.3</f>
        <v>0</v>
      </c>
      <c r="D22" s="20"/>
      <c r="E22" s="45"/>
    </row>
    <row r="23" spans="1:5" x14ac:dyDescent="0.25">
      <c r="A23" s="19" t="s">
        <v>131</v>
      </c>
      <c r="B23" s="78"/>
      <c r="C23" s="19" t="s">
        <v>130</v>
      </c>
      <c r="D23" s="20"/>
      <c r="E23" s="45"/>
    </row>
    <row r="24" spans="1:5" x14ac:dyDescent="0.25">
      <c r="A24" s="19" t="s">
        <v>133</v>
      </c>
      <c r="B24" s="78"/>
      <c r="C24" s="80">
        <v>6</v>
      </c>
      <c r="D24" s="73"/>
      <c r="E24" s="74"/>
    </row>
    <row r="25" spans="1:5" x14ac:dyDescent="0.25">
      <c r="A25" s="19" t="s">
        <v>134</v>
      </c>
      <c r="B25" s="78"/>
      <c r="C25" s="19">
        <v>7.6</v>
      </c>
      <c r="D25" s="20"/>
      <c r="E25" s="45"/>
    </row>
    <row r="26" spans="1:5" x14ac:dyDescent="0.25">
      <c r="A26" s="19" t="s">
        <v>135</v>
      </c>
      <c r="B26" s="78"/>
      <c r="C26" s="19">
        <v>7.8</v>
      </c>
      <c r="D26" s="20"/>
      <c r="E26" s="45"/>
    </row>
    <row r="27" spans="1:5" x14ac:dyDescent="0.25">
      <c r="A27" s="19" t="s">
        <v>136</v>
      </c>
      <c r="B27" s="78"/>
      <c r="C27" s="19">
        <v>7.5</v>
      </c>
      <c r="D27" s="20"/>
      <c r="E27" s="45"/>
    </row>
    <row r="28" spans="1:5" x14ac:dyDescent="0.25">
      <c r="A28" s="19" t="s">
        <v>137</v>
      </c>
      <c r="B28" s="78"/>
      <c r="C28" s="19">
        <v>9.1999999999999993</v>
      </c>
      <c r="D28" s="20"/>
      <c r="E28" s="45"/>
    </row>
    <row r="29" spans="1:5" ht="15.75" thickBot="1" x14ac:dyDescent="0.3">
      <c r="A29" s="21" t="s">
        <v>138</v>
      </c>
      <c r="B29" s="79"/>
      <c r="C29" s="81">
        <v>8</v>
      </c>
      <c r="D29" s="75"/>
      <c r="E29" s="76"/>
    </row>
    <row r="30" spans="1:5" ht="15.75" thickBot="1" x14ac:dyDescent="0.3"/>
    <row r="31" spans="1:5" ht="15.75" thickBot="1" x14ac:dyDescent="0.3">
      <c r="C31" s="48" t="s">
        <v>139</v>
      </c>
      <c r="D31" s="49"/>
      <c r="E31" s="50"/>
    </row>
    <row r="32" spans="1:5" x14ac:dyDescent="0.25">
      <c r="A32" s="47" t="s">
        <v>140</v>
      </c>
      <c r="B32" s="43"/>
      <c r="C32" s="51" t="s">
        <v>169</v>
      </c>
      <c r="D32" s="51"/>
      <c r="E32" s="52"/>
    </row>
    <row r="33" spans="1:5" x14ac:dyDescent="0.25">
      <c r="A33" s="19" t="s">
        <v>141</v>
      </c>
      <c r="B33" s="20"/>
      <c r="C33" s="2">
        <v>4.7370000000000001</v>
      </c>
      <c r="D33" s="2"/>
      <c r="E33" s="7">
        <v>-0.97899999999999998</v>
      </c>
    </row>
    <row r="34" spans="1:5" x14ac:dyDescent="0.25">
      <c r="A34" s="19" t="s">
        <v>142</v>
      </c>
      <c r="B34" s="20"/>
      <c r="C34" s="2">
        <v>5.4160000000000004</v>
      </c>
      <c r="D34" s="2"/>
      <c r="E34" s="7">
        <v>-0.622</v>
      </c>
    </row>
    <row r="35" spans="1:5" x14ac:dyDescent="0.25">
      <c r="A35" s="19" t="s">
        <v>143</v>
      </c>
      <c r="B35" s="20"/>
      <c r="C35" s="2">
        <v>4.1100000000000003</v>
      </c>
      <c r="D35" s="2"/>
      <c r="E35" s="7">
        <v>-0.622</v>
      </c>
    </row>
    <row r="36" spans="1:5" x14ac:dyDescent="0.25">
      <c r="A36" s="19" t="s">
        <v>20</v>
      </c>
      <c r="B36" s="20"/>
      <c r="C36" s="2">
        <v>5.57</v>
      </c>
      <c r="D36" s="2"/>
      <c r="E36" s="7">
        <v>-1.075</v>
      </c>
    </row>
    <row r="37" spans="1:5" ht="15.75" thickBot="1" x14ac:dyDescent="0.3">
      <c r="A37" s="21" t="s">
        <v>21</v>
      </c>
      <c r="B37" s="22"/>
      <c r="C37" s="10" t="s">
        <v>144</v>
      </c>
      <c r="D37" s="10"/>
      <c r="E37" s="11">
        <v>0</v>
      </c>
    </row>
    <row r="39" spans="1:5" ht="15.75" thickBot="1" x14ac:dyDescent="0.3"/>
    <row r="40" spans="1:5" x14ac:dyDescent="0.25">
      <c r="A40" s="47" t="s">
        <v>145</v>
      </c>
      <c r="B40" s="43"/>
      <c r="C40" s="43" t="s">
        <v>146</v>
      </c>
      <c r="D40" s="43"/>
      <c r="E40" s="44"/>
    </row>
    <row r="41" spans="1:5" x14ac:dyDescent="0.25">
      <c r="A41" s="19" t="s">
        <v>141</v>
      </c>
      <c r="B41" s="20"/>
      <c r="C41" s="20">
        <v>0.4</v>
      </c>
      <c r="D41" s="20"/>
      <c r="E41" s="45"/>
    </row>
    <row r="42" spans="1:5" x14ac:dyDescent="0.25">
      <c r="A42" s="19" t="s">
        <v>142</v>
      </c>
      <c r="B42" s="20"/>
      <c r="C42" s="20">
        <v>0.9</v>
      </c>
      <c r="D42" s="20"/>
      <c r="E42" s="45"/>
    </row>
    <row r="43" spans="1:5" x14ac:dyDescent="0.25">
      <c r="A43" s="19" t="s">
        <v>143</v>
      </c>
      <c r="B43" s="20"/>
      <c r="C43" s="20">
        <v>0.6</v>
      </c>
      <c r="D43" s="20"/>
      <c r="E43" s="45"/>
    </row>
    <row r="44" spans="1:5" x14ac:dyDescent="0.25">
      <c r="A44" s="19" t="s">
        <v>148</v>
      </c>
      <c r="B44" s="20"/>
      <c r="C44" s="20">
        <v>0.25</v>
      </c>
      <c r="D44" s="20"/>
      <c r="E44" s="45"/>
    </row>
    <row r="45" spans="1:5" x14ac:dyDescent="0.25">
      <c r="A45" s="40" t="s">
        <v>149</v>
      </c>
      <c r="B45" s="41"/>
      <c r="C45" s="20" t="s">
        <v>147</v>
      </c>
      <c r="D45" s="20"/>
      <c r="E45" s="45"/>
    </row>
    <row r="46" spans="1:5" ht="15.75" thickBot="1" x14ac:dyDescent="0.3">
      <c r="A46" s="38"/>
      <c r="B46" s="42"/>
      <c r="C46" s="22"/>
      <c r="D46" s="22"/>
      <c r="E46" s="46"/>
    </row>
    <row r="48" spans="1:5" ht="15.75" thickBot="1" x14ac:dyDescent="0.3"/>
    <row r="49" spans="1:6" ht="15.75" thickBot="1" x14ac:dyDescent="0.3">
      <c r="A49" s="29" t="s">
        <v>145</v>
      </c>
      <c r="B49" s="30"/>
      <c r="C49" s="26" t="s">
        <v>151</v>
      </c>
      <c r="D49" s="27"/>
      <c r="E49" s="36" t="s">
        <v>152</v>
      </c>
      <c r="F49" s="37"/>
    </row>
    <row r="50" spans="1:6" ht="15.75" thickBot="1" x14ac:dyDescent="0.3">
      <c r="A50" s="31"/>
      <c r="B50" s="32"/>
      <c r="C50" s="15" t="s">
        <v>159</v>
      </c>
      <c r="D50" s="15" t="s">
        <v>150</v>
      </c>
      <c r="E50" s="38"/>
      <c r="F50" s="39"/>
    </row>
    <row r="51" spans="1:6" x14ac:dyDescent="0.25">
      <c r="A51" s="28" t="s">
        <v>153</v>
      </c>
      <c r="B51" s="28"/>
      <c r="C51" s="14">
        <v>0.04</v>
      </c>
      <c r="D51" s="14">
        <v>7.0000000000000007E-2</v>
      </c>
      <c r="E51" s="28">
        <v>25</v>
      </c>
      <c r="F51" s="28"/>
    </row>
    <row r="52" spans="1:6" x14ac:dyDescent="0.25">
      <c r="A52" s="20" t="s">
        <v>154</v>
      </c>
      <c r="B52" s="20"/>
      <c r="C52" s="2">
        <v>0.08</v>
      </c>
      <c r="D52" s="2">
        <v>0.13</v>
      </c>
      <c r="E52" s="20">
        <v>12</v>
      </c>
      <c r="F52" s="20"/>
    </row>
    <row r="53" spans="1:6" x14ac:dyDescent="0.25">
      <c r="A53" s="20" t="s">
        <v>155</v>
      </c>
      <c r="B53" s="20"/>
      <c r="C53" s="2">
        <v>7.0000000000000007E-2</v>
      </c>
      <c r="D53" s="2">
        <v>0.12</v>
      </c>
      <c r="E53" s="20">
        <v>14</v>
      </c>
      <c r="F53" s="20"/>
    </row>
    <row r="54" spans="1:6" x14ac:dyDescent="0.25">
      <c r="A54" s="20" t="s">
        <v>156</v>
      </c>
      <c r="B54" s="20"/>
      <c r="C54" s="2">
        <v>0.17</v>
      </c>
      <c r="D54" s="3">
        <v>0.3</v>
      </c>
      <c r="E54" s="20">
        <v>6</v>
      </c>
      <c r="F54" s="20"/>
    </row>
    <row r="55" spans="1:6" x14ac:dyDescent="0.25">
      <c r="A55" s="20" t="s">
        <v>157</v>
      </c>
      <c r="B55" s="20"/>
      <c r="C55" s="2">
        <v>0.09</v>
      </c>
      <c r="D55" s="2">
        <v>0.15</v>
      </c>
      <c r="E55" s="20">
        <v>11</v>
      </c>
      <c r="F55" s="20"/>
    </row>
    <row r="56" spans="1:6" x14ac:dyDescent="0.25">
      <c r="A56" s="20" t="s">
        <v>158</v>
      </c>
      <c r="B56" s="20"/>
      <c r="C56" s="3">
        <v>0.2</v>
      </c>
      <c r="D56" s="2">
        <v>0.33</v>
      </c>
      <c r="E56" s="20">
        <v>5</v>
      </c>
      <c r="F56" s="20"/>
    </row>
    <row r="57" spans="1:6" x14ac:dyDescent="0.25">
      <c r="A57" s="20" t="s">
        <v>138</v>
      </c>
      <c r="B57" s="20"/>
      <c r="C57" s="3">
        <v>0.1</v>
      </c>
      <c r="D57" s="2">
        <v>0.16</v>
      </c>
      <c r="E57" s="20">
        <v>10</v>
      </c>
      <c r="F57" s="20"/>
    </row>
    <row r="58" spans="1:6" ht="15.75" thickBot="1" x14ac:dyDescent="0.3"/>
    <row r="59" spans="1:6" ht="15.75" thickBot="1" x14ac:dyDescent="0.3">
      <c r="A59" s="26" t="s">
        <v>168</v>
      </c>
      <c r="B59" s="27"/>
      <c r="C59" s="12" t="s">
        <v>132</v>
      </c>
      <c r="D59" s="2" t="s">
        <v>8</v>
      </c>
    </row>
    <row r="60" spans="1:6" x14ac:dyDescent="0.25">
      <c r="A60" s="28" t="s">
        <v>19</v>
      </c>
      <c r="B60" s="28"/>
      <c r="C60" s="2">
        <v>0.48799999999999999</v>
      </c>
      <c r="D60" s="2">
        <v>0.72799999999999998</v>
      </c>
    </row>
    <row r="61" spans="1:6" x14ac:dyDescent="0.25">
      <c r="A61" s="20" t="s">
        <v>142</v>
      </c>
      <c r="B61" s="20"/>
      <c r="C61" s="2">
        <v>0.64800000000000002</v>
      </c>
      <c r="D61" s="2">
        <v>0.59399999999999997</v>
      </c>
    </row>
    <row r="62" spans="1:6" x14ac:dyDescent="0.25">
      <c r="A62" s="20" t="s">
        <v>143</v>
      </c>
      <c r="B62" s="20"/>
      <c r="C62" s="2">
        <v>0.51400000000000001</v>
      </c>
      <c r="D62" s="2">
        <v>0.14099999999999999</v>
      </c>
    </row>
    <row r="63" spans="1:6" x14ac:dyDescent="0.25">
      <c r="A63" s="20" t="s">
        <v>20</v>
      </c>
      <c r="B63" s="20"/>
      <c r="C63" s="2">
        <v>0.24399999999999999</v>
      </c>
      <c r="D63" s="2">
        <v>0.34100000000000003</v>
      </c>
    </row>
    <row r="64" spans="1:6" x14ac:dyDescent="0.25">
      <c r="A64" s="20" t="s">
        <v>21</v>
      </c>
      <c r="B64" s="20"/>
      <c r="C64" s="2">
        <v>0.26700000000000002</v>
      </c>
      <c r="D64" s="2">
        <v>0.36299999999999999</v>
      </c>
    </row>
    <row r="65" spans="1:5" ht="15.75" thickBot="1" x14ac:dyDescent="0.3"/>
    <row r="66" spans="1:5" ht="15.75" thickBot="1" x14ac:dyDescent="0.3">
      <c r="A66" s="33" t="s">
        <v>160</v>
      </c>
      <c r="B66" s="34"/>
      <c r="C66" s="13" t="s">
        <v>161</v>
      </c>
      <c r="D66" s="5" t="s">
        <v>162</v>
      </c>
      <c r="E66" s="6" t="s">
        <v>8</v>
      </c>
    </row>
    <row r="67" spans="1:5" x14ac:dyDescent="0.25">
      <c r="A67" s="35" t="s">
        <v>163</v>
      </c>
      <c r="B67" s="28"/>
      <c r="C67" s="2">
        <v>4.2999999999999997E-2</v>
      </c>
      <c r="D67" s="2">
        <v>7.0999999999999994E-2</v>
      </c>
      <c r="E67" s="7">
        <v>0</v>
      </c>
    </row>
    <row r="68" spans="1:5" x14ac:dyDescent="0.25">
      <c r="A68" s="19" t="s">
        <v>164</v>
      </c>
      <c r="B68" s="20"/>
      <c r="C68" s="2">
        <v>5.0000000000000001E-3</v>
      </c>
      <c r="D68" s="2">
        <v>6.0000000000000001E-3</v>
      </c>
      <c r="E68" s="7">
        <v>0.56999999999999995</v>
      </c>
    </row>
    <row r="69" spans="1:5" x14ac:dyDescent="0.25">
      <c r="A69" s="19" t="s">
        <v>165</v>
      </c>
      <c r="B69" s="20"/>
      <c r="C69" s="2">
        <v>4.0000000000000001E-3</v>
      </c>
      <c r="D69" s="2">
        <v>5.0000000000000001E-3</v>
      </c>
      <c r="E69" s="7">
        <v>0.56999999999999995</v>
      </c>
    </row>
    <row r="70" spans="1:5" x14ac:dyDescent="0.25">
      <c r="A70" s="19" t="s">
        <v>166</v>
      </c>
      <c r="B70" s="20"/>
      <c r="C70" s="2">
        <v>2.5000000000000001E-2</v>
      </c>
      <c r="D70" s="2">
        <v>3.5999999999999997E-2</v>
      </c>
      <c r="E70" s="7">
        <v>0.22</v>
      </c>
    </row>
    <row r="71" spans="1:5" x14ac:dyDescent="0.25">
      <c r="A71" s="19" t="s">
        <v>167</v>
      </c>
      <c r="B71" s="20"/>
      <c r="C71" s="2">
        <v>3.5999999999999997E-2</v>
      </c>
      <c r="D71" s="2">
        <v>4.8000000000000001E-2</v>
      </c>
      <c r="E71" s="7">
        <v>0.32</v>
      </c>
    </row>
    <row r="72" spans="1:5" x14ac:dyDescent="0.25">
      <c r="A72" s="19" t="s">
        <v>136</v>
      </c>
      <c r="B72" s="20"/>
      <c r="C72" s="2">
        <v>8.9999999999999993E-3</v>
      </c>
      <c r="D72" s="4">
        <v>0.01</v>
      </c>
      <c r="E72" s="8">
        <v>0.5</v>
      </c>
    </row>
    <row r="73" spans="1:5" x14ac:dyDescent="0.25">
      <c r="A73" s="19" t="s">
        <v>16</v>
      </c>
      <c r="B73" s="20"/>
      <c r="C73" s="2">
        <v>1.2999999999999999E-2</v>
      </c>
      <c r="D73" s="2">
        <v>1.6E-2</v>
      </c>
      <c r="E73" s="8">
        <v>0.5</v>
      </c>
    </row>
    <row r="74" spans="1:5" ht="15.75" thickBot="1" x14ac:dyDescent="0.3">
      <c r="A74" s="21" t="s">
        <v>138</v>
      </c>
      <c r="B74" s="22"/>
      <c r="C74" s="9">
        <v>0.03</v>
      </c>
      <c r="D74" s="10">
        <v>4.2999999999999997E-2</v>
      </c>
      <c r="E74" s="11">
        <v>0.23</v>
      </c>
    </row>
    <row r="75" spans="1:5" x14ac:dyDescent="0.25">
      <c r="A75" s="23" t="s">
        <v>175</v>
      </c>
      <c r="B75" s="24"/>
      <c r="C75" s="24"/>
      <c r="D75" s="25"/>
    </row>
    <row r="76" spans="1:5" x14ac:dyDescent="0.25">
      <c r="A76" s="19" t="s">
        <v>170</v>
      </c>
      <c r="B76" s="20"/>
      <c r="C76" s="2" t="s">
        <v>171</v>
      </c>
      <c r="D76" s="7" t="s">
        <v>172</v>
      </c>
    </row>
    <row r="77" spans="1:5" x14ac:dyDescent="0.25">
      <c r="A77" s="19" t="s">
        <v>173</v>
      </c>
      <c r="B77" s="20"/>
      <c r="C77" s="2">
        <v>6</v>
      </c>
      <c r="D77" s="7">
        <v>30</v>
      </c>
    </row>
    <row r="78" spans="1:5" x14ac:dyDescent="0.25">
      <c r="A78" s="19" t="s">
        <v>154</v>
      </c>
      <c r="B78" s="20"/>
      <c r="C78" s="2">
        <v>11</v>
      </c>
      <c r="D78" s="7">
        <v>54</v>
      </c>
    </row>
    <row r="79" spans="1:5" x14ac:dyDescent="0.25">
      <c r="A79" s="19" t="s">
        <v>166</v>
      </c>
      <c r="B79" s="20"/>
      <c r="C79" s="2">
        <v>17</v>
      </c>
      <c r="D79" s="7">
        <v>83</v>
      </c>
    </row>
    <row r="80" spans="1:5" x14ac:dyDescent="0.25">
      <c r="A80" s="19" t="s">
        <v>167</v>
      </c>
      <c r="B80" s="20"/>
      <c r="C80" s="2">
        <v>26</v>
      </c>
      <c r="D80" s="7">
        <v>127</v>
      </c>
    </row>
    <row r="81" spans="1:4" x14ac:dyDescent="0.25">
      <c r="A81" s="19" t="s">
        <v>16</v>
      </c>
      <c r="B81" s="20"/>
      <c r="C81" s="2">
        <v>40</v>
      </c>
      <c r="D81" s="7">
        <v>195</v>
      </c>
    </row>
    <row r="82" spans="1:4" x14ac:dyDescent="0.25">
      <c r="A82" s="19" t="s">
        <v>18</v>
      </c>
      <c r="B82" s="20"/>
      <c r="C82" s="2">
        <v>50</v>
      </c>
      <c r="D82" s="7">
        <v>244</v>
      </c>
    </row>
    <row r="83" spans="1:4" x14ac:dyDescent="0.25">
      <c r="A83" s="19" t="s">
        <v>19</v>
      </c>
      <c r="B83" s="20"/>
      <c r="C83" s="2">
        <v>70</v>
      </c>
      <c r="D83" s="7">
        <v>342</v>
      </c>
    </row>
    <row r="84" spans="1:4" ht="15.75" thickBot="1" x14ac:dyDescent="0.3">
      <c r="A84" s="21" t="s">
        <v>174</v>
      </c>
      <c r="B84" s="22"/>
      <c r="C84" s="10">
        <v>120</v>
      </c>
      <c r="D84" s="11">
        <v>586</v>
      </c>
    </row>
  </sheetData>
  <mergeCells count="79">
    <mergeCell ref="C21:E21"/>
    <mergeCell ref="C23:E23"/>
    <mergeCell ref="C22:E22"/>
    <mergeCell ref="C24:E24"/>
    <mergeCell ref="A25:B25"/>
    <mergeCell ref="C31:E31"/>
    <mergeCell ref="C32:E32"/>
    <mergeCell ref="A32:B32"/>
    <mergeCell ref="A22:B22"/>
    <mergeCell ref="A23:B23"/>
    <mergeCell ref="A24:B24"/>
    <mergeCell ref="A27:B27"/>
    <mergeCell ref="A28:B28"/>
    <mergeCell ref="A29:B29"/>
    <mergeCell ref="C25:E25"/>
    <mergeCell ref="C26:E26"/>
    <mergeCell ref="C27:E27"/>
    <mergeCell ref="C28:E28"/>
    <mergeCell ref="C29:E29"/>
    <mergeCell ref="A26:B26"/>
    <mergeCell ref="A33:B33"/>
    <mergeCell ref="A34:B34"/>
    <mergeCell ref="A35:B35"/>
    <mergeCell ref="A36:B36"/>
    <mergeCell ref="A37:B37"/>
    <mergeCell ref="A43:B43"/>
    <mergeCell ref="A42:B42"/>
    <mergeCell ref="A41:B41"/>
    <mergeCell ref="A45:B46"/>
    <mergeCell ref="C40:E40"/>
    <mergeCell ref="C41:E41"/>
    <mergeCell ref="C42:E42"/>
    <mergeCell ref="C43:E43"/>
    <mergeCell ref="C44:E44"/>
    <mergeCell ref="C45:E46"/>
    <mergeCell ref="A40:B40"/>
    <mergeCell ref="C49:D49"/>
    <mergeCell ref="E49:F50"/>
    <mergeCell ref="E51:F51"/>
    <mergeCell ref="E52:F52"/>
    <mergeCell ref="A44:B44"/>
    <mergeCell ref="E53:F53"/>
    <mergeCell ref="E54:F54"/>
    <mergeCell ref="E55:F55"/>
    <mergeCell ref="E56:F56"/>
    <mergeCell ref="E57:F57"/>
    <mergeCell ref="A56:B56"/>
    <mergeCell ref="A57:B57"/>
    <mergeCell ref="A49:B50"/>
    <mergeCell ref="A66:B66"/>
    <mergeCell ref="A67:B67"/>
    <mergeCell ref="A51:B51"/>
    <mergeCell ref="A52:B52"/>
    <mergeCell ref="A53:B53"/>
    <mergeCell ref="A54:B54"/>
    <mergeCell ref="A55:B55"/>
    <mergeCell ref="A74:B74"/>
    <mergeCell ref="A73:B73"/>
    <mergeCell ref="A59:B59"/>
    <mergeCell ref="A60:B60"/>
    <mergeCell ref="A61:B61"/>
    <mergeCell ref="A62:B62"/>
    <mergeCell ref="A64:B64"/>
    <mergeCell ref="A63:B63"/>
    <mergeCell ref="A69:B69"/>
    <mergeCell ref="A70:B70"/>
    <mergeCell ref="A71:B71"/>
    <mergeCell ref="A72:B72"/>
    <mergeCell ref="A68:B68"/>
    <mergeCell ref="A82:B82"/>
    <mergeCell ref="A83:B83"/>
    <mergeCell ref="A84:B84"/>
    <mergeCell ref="A75:D75"/>
    <mergeCell ref="A76:B76"/>
    <mergeCell ref="A77:B77"/>
    <mergeCell ref="A78:B78"/>
    <mergeCell ref="A79:B79"/>
    <mergeCell ref="A80:B80"/>
    <mergeCell ref="A81:B81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2174-CDCC-4C45-AC4D-F937DA5A68DA}">
  <sheetPr>
    <tabColor rgb="FFFFC000"/>
  </sheetPr>
  <dimension ref="A1:H33"/>
  <sheetViews>
    <sheetView workbookViewId="0">
      <selection activeCell="G35" sqref="G35"/>
    </sheetView>
  </sheetViews>
  <sheetFormatPr defaultRowHeight="15" x14ac:dyDescent="0.25"/>
  <sheetData>
    <row r="1" spans="1:7" x14ac:dyDescent="0.25">
      <c r="B1" s="53" t="s">
        <v>189</v>
      </c>
      <c r="C1" s="53" t="s">
        <v>192</v>
      </c>
      <c r="D1" s="53" t="s">
        <v>190</v>
      </c>
      <c r="E1" s="53" t="s">
        <v>193</v>
      </c>
      <c r="F1" s="53" t="s">
        <v>191</v>
      </c>
      <c r="G1" s="53" t="s">
        <v>194</v>
      </c>
    </row>
    <row r="2" spans="1:7" x14ac:dyDescent="0.25">
      <c r="B2" s="53"/>
      <c r="C2" s="53"/>
      <c r="D2" s="53"/>
      <c r="E2" s="53"/>
      <c r="F2" s="53"/>
      <c r="G2" s="53"/>
    </row>
    <row r="3" spans="1:7" ht="15" customHeight="1" x14ac:dyDescent="0.25">
      <c r="B3" s="53"/>
      <c r="C3" s="53"/>
      <c r="D3" s="53"/>
      <c r="E3" s="53"/>
      <c r="F3" s="53"/>
      <c r="G3" s="53"/>
    </row>
    <row r="4" spans="1:7" x14ac:dyDescent="0.25">
      <c r="B4" s="53"/>
      <c r="C4" s="53"/>
      <c r="D4" s="53"/>
      <c r="E4" s="53"/>
      <c r="F4" s="53"/>
      <c r="G4" s="53"/>
    </row>
    <row r="5" spans="1:7" x14ac:dyDescent="0.25">
      <c r="B5" s="53"/>
      <c r="C5" s="53"/>
      <c r="D5" s="53"/>
      <c r="E5" s="53"/>
      <c r="F5" s="53"/>
      <c r="G5" s="53"/>
    </row>
    <row r="6" spans="1:7" x14ac:dyDescent="0.25">
      <c r="A6" t="s">
        <v>188</v>
      </c>
      <c r="B6">
        <v>1000</v>
      </c>
      <c r="C6">
        <v>305</v>
      </c>
      <c r="D6">
        <v>600</v>
      </c>
      <c r="E6">
        <v>183</v>
      </c>
      <c r="F6">
        <v>450</v>
      </c>
      <c r="G6">
        <v>137</v>
      </c>
    </row>
    <row r="8" spans="1:7" x14ac:dyDescent="0.25">
      <c r="B8" t="s">
        <v>30</v>
      </c>
      <c r="C8" t="s">
        <v>29</v>
      </c>
    </row>
    <row r="9" spans="1:7" x14ac:dyDescent="0.25">
      <c r="A9" t="s">
        <v>196</v>
      </c>
      <c r="B9" t="e">
        <f>(80*(B10)*(1/(catapult!B14*catapult!B32)))+B6</f>
        <v>#DIV/0!</v>
      </c>
      <c r="C9" t="e">
        <f>(5*(B10)*(1/(catapult!B14*catapult!B32)))+B6</f>
        <v>#DIV/0!</v>
      </c>
    </row>
    <row r="10" spans="1:7" x14ac:dyDescent="0.25">
      <c r="A10" t="s">
        <v>197</v>
      </c>
    </row>
    <row r="19" spans="1:8" ht="15.75" thickBot="1" x14ac:dyDescent="0.3"/>
    <row r="20" spans="1:8" ht="15.75" thickBot="1" x14ac:dyDescent="0.3">
      <c r="A20" s="48" t="s">
        <v>202</v>
      </c>
      <c r="B20" s="49"/>
      <c r="C20" s="50"/>
      <c r="F20" s="54" t="s">
        <v>203</v>
      </c>
      <c r="G20" s="55"/>
      <c r="H20" s="56"/>
    </row>
    <row r="21" spans="1:8" x14ac:dyDescent="0.25">
      <c r="A21" s="67" t="s">
        <v>197</v>
      </c>
      <c r="B21" s="14">
        <f>B22*((B23*B24*B25*B26)^0.5)</f>
        <v>0</v>
      </c>
      <c r="C21" s="58"/>
      <c r="F21" s="68" t="s">
        <v>197</v>
      </c>
      <c r="G21" s="5">
        <f>G22*(G23*G24*G25*G26)^0.5</f>
        <v>0</v>
      </c>
      <c r="H21" s="6"/>
    </row>
    <row r="22" spans="1:8" x14ac:dyDescent="0.25">
      <c r="A22" s="63" t="s">
        <v>118</v>
      </c>
      <c r="B22" s="72"/>
      <c r="C22" s="58"/>
      <c r="F22" s="63" t="s">
        <v>118</v>
      </c>
      <c r="G22" s="2"/>
      <c r="H22" s="7"/>
    </row>
    <row r="23" spans="1:8" x14ac:dyDescent="0.25">
      <c r="A23" s="63" t="s">
        <v>198</v>
      </c>
      <c r="B23" s="2">
        <v>3.1415926535900001</v>
      </c>
      <c r="C23" s="58"/>
      <c r="F23" s="63" t="s">
        <v>198</v>
      </c>
      <c r="G23" s="2">
        <f>B23</f>
        <v>3.1415926535900001</v>
      </c>
      <c r="H23" s="7"/>
    </row>
    <row r="24" spans="1:8" x14ac:dyDescent="0.25">
      <c r="A24" s="63" t="s">
        <v>70</v>
      </c>
      <c r="B24" s="2"/>
      <c r="C24" s="58"/>
      <c r="F24" s="63" t="s">
        <v>70</v>
      </c>
      <c r="G24" s="2"/>
      <c r="H24" s="7"/>
    </row>
    <row r="25" spans="1:8" x14ac:dyDescent="0.25">
      <c r="A25" s="63" t="s">
        <v>199</v>
      </c>
      <c r="B25" s="2"/>
      <c r="C25" s="58"/>
      <c r="F25" s="63" t="s">
        <v>199</v>
      </c>
      <c r="G25" s="2"/>
      <c r="H25" s="7"/>
    </row>
    <row r="26" spans="1:8" ht="15.75" thickBot="1" x14ac:dyDescent="0.3">
      <c r="A26" s="65" t="s">
        <v>200</v>
      </c>
      <c r="B26" s="66"/>
      <c r="C26" s="58"/>
      <c r="F26" s="64" t="s">
        <v>200</v>
      </c>
      <c r="G26" s="10"/>
      <c r="H26" s="11"/>
    </row>
    <row r="27" spans="1:8" ht="15.75" thickBot="1" x14ac:dyDescent="0.3">
      <c r="A27" s="48" t="s">
        <v>201</v>
      </c>
      <c r="B27" s="49"/>
      <c r="C27" s="50"/>
      <c r="F27" s="59" t="s">
        <v>204</v>
      </c>
      <c r="G27" s="60"/>
      <c r="H27" s="61"/>
    </row>
    <row r="28" spans="1:8" x14ac:dyDescent="0.25">
      <c r="A28" s="67" t="s">
        <v>197</v>
      </c>
      <c r="B28" s="14">
        <f>B29*((B30*B31*B32*B33)/3)</f>
        <v>0</v>
      </c>
      <c r="C28" s="58"/>
      <c r="F28" s="68" t="s">
        <v>197</v>
      </c>
      <c r="G28" s="5">
        <f>G29*(3*G30*G31*G32*G33)^0.5</f>
        <v>0</v>
      </c>
      <c r="H28" s="6"/>
    </row>
    <row r="29" spans="1:8" x14ac:dyDescent="0.25">
      <c r="A29" s="63" t="s">
        <v>118</v>
      </c>
      <c r="B29" s="2"/>
      <c r="C29" s="58"/>
      <c r="F29" s="63" t="s">
        <v>118</v>
      </c>
      <c r="G29" s="2"/>
      <c r="H29" s="7"/>
    </row>
    <row r="30" spans="1:8" x14ac:dyDescent="0.25">
      <c r="A30" s="63" t="s">
        <v>198</v>
      </c>
      <c r="B30" s="2">
        <f>B23</f>
        <v>3.1415926535900001</v>
      </c>
      <c r="C30" s="58"/>
      <c r="F30" s="63" t="s">
        <v>198</v>
      </c>
      <c r="G30" s="2">
        <f>G23</f>
        <v>3.1415926535900001</v>
      </c>
      <c r="H30" s="7"/>
    </row>
    <row r="31" spans="1:8" x14ac:dyDescent="0.25">
      <c r="A31" s="63" t="s">
        <v>70</v>
      </c>
      <c r="B31" s="2"/>
      <c r="C31" s="58"/>
      <c r="F31" s="63" t="s">
        <v>70</v>
      </c>
      <c r="G31" s="2"/>
      <c r="H31" s="7"/>
    </row>
    <row r="32" spans="1:8" x14ac:dyDescent="0.25">
      <c r="A32" s="63" t="s">
        <v>199</v>
      </c>
      <c r="B32" s="2"/>
      <c r="C32" s="58"/>
      <c r="F32" s="63" t="s">
        <v>199</v>
      </c>
      <c r="G32" s="2"/>
      <c r="H32" s="7"/>
    </row>
    <row r="33" spans="1:8" ht="15.75" thickBot="1" x14ac:dyDescent="0.3">
      <c r="A33" s="64" t="s">
        <v>200</v>
      </c>
      <c r="B33" s="10"/>
      <c r="C33" s="62"/>
      <c r="F33" s="64" t="s">
        <v>200</v>
      </c>
      <c r="G33" s="10"/>
      <c r="H33" s="11"/>
    </row>
  </sheetData>
  <mergeCells count="10">
    <mergeCell ref="F20:H20"/>
    <mergeCell ref="F27:H27"/>
    <mergeCell ref="A27:C27"/>
    <mergeCell ref="D1:D5"/>
    <mergeCell ref="B1:B5"/>
    <mergeCell ref="C1:C5"/>
    <mergeCell ref="A20:C20"/>
    <mergeCell ref="F1:F5"/>
    <mergeCell ref="E1:E5"/>
    <mergeCell ref="G1:G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1C87-5353-49F9-B748-5CA9567AA096}">
  <sheetPr>
    <tabColor rgb="FFFFC000"/>
  </sheetPr>
  <dimension ref="A1:C17"/>
  <sheetViews>
    <sheetView workbookViewId="0">
      <selection activeCell="G35" sqref="G35"/>
    </sheetView>
  </sheetViews>
  <sheetFormatPr defaultRowHeight="15" x14ac:dyDescent="0.25"/>
  <cols>
    <col min="13" max="13" width="8.5703125" customWidth="1"/>
  </cols>
  <sheetData>
    <row r="1" spans="1:3" ht="15.75" thickBot="1" x14ac:dyDescent="0.3">
      <c r="A1" s="26" t="s">
        <v>210</v>
      </c>
      <c r="B1" s="27"/>
    </row>
    <row r="2" spans="1:3" x14ac:dyDescent="0.25">
      <c r="A2" s="70" t="s">
        <v>205</v>
      </c>
      <c r="B2" s="71" t="e">
        <f>(g*(((B3)^2)-1))/B4</f>
        <v>#NAME?</v>
      </c>
    </row>
    <row r="3" spans="1:3" x14ac:dyDescent="0.25">
      <c r="A3" s="63" t="s">
        <v>207</v>
      </c>
      <c r="B3" s="7" t="e">
        <f>B5</f>
        <v>#DIV/0!</v>
      </c>
    </row>
    <row r="4" spans="1:3" x14ac:dyDescent="0.25">
      <c r="A4" s="63" t="s">
        <v>206</v>
      </c>
      <c r="B4" s="7"/>
    </row>
    <row r="5" spans="1:3" x14ac:dyDescent="0.25">
      <c r="A5" s="63" t="s">
        <v>207</v>
      </c>
      <c r="B5" s="7" t="e">
        <f>(B6*B7)/B8</f>
        <v>#DIV/0!</v>
      </c>
    </row>
    <row r="6" spans="1:3" x14ac:dyDescent="0.25">
      <c r="A6" s="63" t="s">
        <v>118</v>
      </c>
      <c r="B6" s="7"/>
    </row>
    <row r="7" spans="1:3" x14ac:dyDescent="0.25">
      <c r="A7" s="63" t="s">
        <v>123</v>
      </c>
      <c r="B7" s="7"/>
    </row>
    <row r="8" spans="1:3" ht="15.75" thickBot="1" x14ac:dyDescent="0.3">
      <c r="A8" s="64" t="s">
        <v>197</v>
      </c>
      <c r="B8" s="11"/>
    </row>
    <row r="9" spans="1:3" ht="15.75" thickBot="1" x14ac:dyDescent="0.3">
      <c r="A9" s="26" t="s">
        <v>208</v>
      </c>
      <c r="B9" s="27"/>
      <c r="C9" s="1"/>
    </row>
    <row r="10" spans="1:3" x14ac:dyDescent="0.25">
      <c r="A10" s="67" t="s">
        <v>209</v>
      </c>
      <c r="B10" s="71" t="e">
        <f ca="1">((B11*B12)/B13)+B13((B14^2)/B11*B15*B16*B17)</f>
        <v>#DIV/0!</v>
      </c>
    </row>
    <row r="11" spans="1:3" x14ac:dyDescent="0.25">
      <c r="A11" s="63" t="s">
        <v>118</v>
      </c>
      <c r="B11" s="7"/>
    </row>
    <row r="12" spans="1:3" x14ac:dyDescent="0.25">
      <c r="A12" s="63" t="s">
        <v>200</v>
      </c>
      <c r="B12" s="7"/>
    </row>
    <row r="13" spans="1:3" x14ac:dyDescent="0.25">
      <c r="A13" s="63" t="s">
        <v>197</v>
      </c>
      <c r="B13" s="7"/>
    </row>
    <row r="14" spans="1:3" x14ac:dyDescent="0.25">
      <c r="A14" s="63" t="s">
        <v>207</v>
      </c>
      <c r="B14" s="7"/>
    </row>
    <row r="15" spans="1:3" x14ac:dyDescent="0.25">
      <c r="A15" s="63" t="s">
        <v>198</v>
      </c>
      <c r="B15" s="7">
        <f>landing!B23</f>
        <v>3.1415926535900001</v>
      </c>
    </row>
    <row r="16" spans="1:3" x14ac:dyDescent="0.25">
      <c r="A16" s="63" t="s">
        <v>70</v>
      </c>
      <c r="B16" s="7"/>
    </row>
    <row r="17" spans="1:2" ht="15.75" thickBot="1" x14ac:dyDescent="0.3">
      <c r="A17" s="64" t="s">
        <v>199</v>
      </c>
      <c r="B17" s="11"/>
    </row>
  </sheetData>
  <mergeCells count="2">
    <mergeCell ref="A1:B1"/>
    <mergeCell ref="A9:B9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1DE1-DD95-4FAB-9A4F-E551F69534C6}">
  <sheetPr>
    <tabColor rgb="FFFFC000"/>
  </sheetPr>
  <dimension ref="A1:C20"/>
  <sheetViews>
    <sheetView zoomScale="115" zoomScaleNormal="115" workbookViewId="0">
      <selection activeCell="G35" sqref="G35"/>
    </sheetView>
  </sheetViews>
  <sheetFormatPr defaultRowHeight="15" x14ac:dyDescent="0.25"/>
  <cols>
    <col min="1" max="1" width="13.42578125" bestFit="1" customWidth="1"/>
  </cols>
  <sheetData>
    <row r="1" spans="1:3" x14ac:dyDescent="0.25">
      <c r="A1" t="s">
        <v>176</v>
      </c>
      <c r="B1">
        <f>B2+B3+B4</f>
        <v>0</v>
      </c>
    </row>
    <row r="2" spans="1:3" x14ac:dyDescent="0.25">
      <c r="A2" t="s">
        <v>177</v>
      </c>
    </row>
    <row r="3" spans="1:3" x14ac:dyDescent="0.25">
      <c r="A3" t="s">
        <v>178</v>
      </c>
    </row>
    <row r="4" spans="1:3" x14ac:dyDescent="0.25">
      <c r="A4" t="s">
        <v>179</v>
      </c>
    </row>
    <row r="5" spans="1:3" x14ac:dyDescent="0.25">
      <c r="A5" t="s">
        <v>183</v>
      </c>
      <c r="B5" t="e">
        <f ca="1">0.5*B7(B1^2)(B8/1.21)</f>
        <v>#REF!</v>
      </c>
    </row>
    <row r="6" spans="1:3" x14ac:dyDescent="0.25">
      <c r="B6" t="s">
        <v>181</v>
      </c>
      <c r="C6" t="s">
        <v>182</v>
      </c>
    </row>
    <row r="7" spans="1:3" x14ac:dyDescent="0.25">
      <c r="A7" t="s">
        <v>180</v>
      </c>
      <c r="B7">
        <v>2.1900000000000001E-3</v>
      </c>
      <c r="C7">
        <v>1.1299999999999999</v>
      </c>
    </row>
    <row r="8" spans="1:3" x14ac:dyDescent="0.25">
      <c r="A8" t="s">
        <v>195</v>
      </c>
    </row>
    <row r="10" spans="1:3" x14ac:dyDescent="0.25">
      <c r="A10" t="s">
        <v>184</v>
      </c>
    </row>
    <row r="11" spans="1:3" ht="14.45" customHeight="1" x14ac:dyDescent="0.25">
      <c r="B11" s="53" t="s">
        <v>186</v>
      </c>
      <c r="C11" s="53" t="s">
        <v>187</v>
      </c>
    </row>
    <row r="12" spans="1:3" x14ac:dyDescent="0.25">
      <c r="B12" s="53"/>
      <c r="C12" s="53"/>
    </row>
    <row r="13" spans="1:3" x14ac:dyDescent="0.25">
      <c r="B13" s="53"/>
      <c r="C13" s="53"/>
    </row>
    <row r="14" spans="1:3" x14ac:dyDescent="0.25">
      <c r="A14" t="s">
        <v>185</v>
      </c>
      <c r="B14">
        <v>1</v>
      </c>
      <c r="C14">
        <v>0.79400000000000004</v>
      </c>
    </row>
    <row r="20" ht="14.45" customHeight="1" x14ac:dyDescent="0.25"/>
  </sheetData>
  <mergeCells count="2">
    <mergeCell ref="B11:B13"/>
    <mergeCell ref="C11:C13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24E3-CD45-48BF-9331-8AD69E1A20AC}">
  <sheetPr>
    <tabColor rgb="FFFFC000"/>
  </sheetPr>
  <dimension ref="A1:B8"/>
  <sheetViews>
    <sheetView workbookViewId="0">
      <selection activeCell="G35" sqref="G35"/>
    </sheetView>
  </sheetViews>
  <sheetFormatPr defaultRowHeight="15" x14ac:dyDescent="0.25"/>
  <sheetData>
    <row r="1" spans="1:2" x14ac:dyDescent="0.25">
      <c r="A1" s="68" t="s">
        <v>211</v>
      </c>
      <c r="B1" s="6" t="e">
        <f>((B2*B3)/B4)+(B4/(B5*B6*B7*B8))</f>
        <v>#DIV/0!</v>
      </c>
    </row>
    <row r="2" spans="1:2" x14ac:dyDescent="0.25">
      <c r="A2" s="63" t="s">
        <v>118</v>
      </c>
      <c r="B2" s="7"/>
    </row>
    <row r="3" spans="1:2" x14ac:dyDescent="0.25">
      <c r="A3" s="63" t="s">
        <v>212</v>
      </c>
      <c r="B3" s="7"/>
    </row>
    <row r="4" spans="1:2" x14ac:dyDescent="0.25">
      <c r="A4" s="63" t="s">
        <v>197</v>
      </c>
      <c r="B4" s="7"/>
    </row>
    <row r="5" spans="1:2" x14ac:dyDescent="0.25">
      <c r="A5" s="63" t="s">
        <v>118</v>
      </c>
      <c r="B5" s="7"/>
    </row>
    <row r="6" spans="1:2" x14ac:dyDescent="0.25">
      <c r="A6" s="63" t="s">
        <v>198</v>
      </c>
      <c r="B6" s="7">
        <f>landing!B23</f>
        <v>3.1415926535900001</v>
      </c>
    </row>
    <row r="7" spans="1:2" x14ac:dyDescent="0.25">
      <c r="A7" s="63" t="s">
        <v>70</v>
      </c>
      <c r="B7" s="7"/>
    </row>
    <row r="8" spans="1:2" ht="15.75" thickBot="1" x14ac:dyDescent="0.3">
      <c r="A8" s="64" t="s">
        <v>199</v>
      </c>
      <c r="B8" s="1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empty weight estimation table</vt:lpstr>
      <vt:lpstr>Fuel fraction estimation</vt:lpstr>
      <vt:lpstr>the iterative and mission bit</vt:lpstr>
      <vt:lpstr>lift coeffs</vt:lpstr>
      <vt:lpstr>landing</vt:lpstr>
      <vt:lpstr> turning</vt:lpstr>
      <vt:lpstr>catapult</vt:lpstr>
      <vt:lpstr>climb and glide</vt:lpstr>
      <vt:lpstr>Fuselage Length</vt:lpstr>
      <vt:lpstr>empty sheet</vt:lpstr>
      <vt:lpstr>Heavy lift UAV initial sizing</vt:lpstr>
      <vt:lpstr>motor 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Ikram Choudhury</dc:creator>
  <cp:lastModifiedBy>Ikram Choudhury</cp:lastModifiedBy>
  <dcterms:created xsi:type="dcterms:W3CDTF">2019-10-14T10:33:11Z</dcterms:created>
  <dcterms:modified xsi:type="dcterms:W3CDTF">2019-11-02T14:44:40Z</dcterms:modified>
</cp:coreProperties>
</file>